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Z:\Forschung\4_Homepage\IAAF\Dokumente und Links\"/>
    </mc:Choice>
  </mc:AlternateContent>
  <bookViews>
    <workbookView xWindow="0" yWindow="0" windowWidth="28800" windowHeight="13590"/>
  </bookViews>
  <sheets>
    <sheet name="Bestandsplanung" sheetId="3" r:id="rId1"/>
    <sheet name="Saisonale Abkalbung" sheetId="6" r:id="rId2"/>
    <sheet name="Stallplatzbedarf JV" sheetId="4" r:id="rId3"/>
    <sheet name="Stallplatzbedarf Trockensteher"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7" i="3" l="1"/>
  <c r="C48" i="6"/>
  <c r="H4" i="6" l="1"/>
  <c r="F15" i="6" s="1"/>
  <c r="E15" i="6" l="1"/>
  <c r="E49" i="6"/>
  <c r="D15" i="6"/>
  <c r="E16" i="6"/>
  <c r="F49" i="6"/>
  <c r="F16" i="6"/>
  <c r="D49" i="6"/>
  <c r="H23" i="4"/>
  <c r="E17" i="6" l="1"/>
  <c r="F17" i="6"/>
  <c r="D16" i="6"/>
  <c r="H4" i="3"/>
  <c r="F6" i="5" l="1"/>
  <c r="E6" i="5"/>
  <c r="D6" i="5"/>
  <c r="E18" i="6"/>
  <c r="D17" i="6"/>
  <c r="F18" i="6"/>
  <c r="F48" i="3"/>
  <c r="E14" i="3"/>
  <c r="F14" i="3"/>
  <c r="D14" i="3"/>
  <c r="D48" i="3"/>
  <c r="E48" i="3"/>
  <c r="F15" i="3" l="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G10" i="4"/>
  <c r="H10" i="4" s="1"/>
  <c r="E15" i="3"/>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D15" i="3"/>
  <c r="C10" i="4" s="1"/>
  <c r="D10" i="4" s="1"/>
  <c r="D18" i="6"/>
  <c r="D19" i="6" s="1"/>
  <c r="F19" i="6"/>
  <c r="E19" i="6"/>
  <c r="D16" i="3" l="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E10" i="4"/>
  <c r="F10" i="4" s="1"/>
  <c r="D20" i="6"/>
  <c r="D41" i="6" s="1"/>
  <c r="F20" i="6"/>
  <c r="F41" i="6" s="1"/>
  <c r="E20" i="6"/>
  <c r="E41" i="6" s="1"/>
  <c r="F40" i="3"/>
  <c r="E40" i="3"/>
  <c r="F41" i="3"/>
  <c r="E41" i="3"/>
  <c r="F42" i="3"/>
  <c r="E42" i="3"/>
  <c r="D42" i="3" l="1"/>
  <c r="D41" i="3"/>
  <c r="E11" i="4"/>
  <c r="F11" i="4" s="1"/>
  <c r="E21" i="6"/>
  <c r="D21" i="6"/>
  <c r="F21" i="6"/>
  <c r="G11" i="4"/>
  <c r="H11" i="4" s="1"/>
  <c r="E43" i="3"/>
  <c r="E12" i="4" s="1"/>
  <c r="F12" i="4" s="1"/>
  <c r="E20" i="4" s="1"/>
  <c r="E21" i="4" s="1"/>
  <c r="F43" i="3"/>
  <c r="G12" i="4" s="1"/>
  <c r="H12" i="4" s="1"/>
  <c r="F20" i="4" s="1"/>
  <c r="F21" i="4" s="1"/>
  <c r="D40" i="3"/>
  <c r="C11" i="4" s="1"/>
  <c r="D11" i="4" s="1"/>
  <c r="F22" i="6" l="1"/>
  <c r="D22" i="6"/>
  <c r="E22" i="6"/>
  <c r="F44" i="3"/>
  <c r="E44" i="3"/>
  <c r="D43" i="3"/>
  <c r="C12" i="4" s="1"/>
  <c r="D12" i="4" s="1"/>
  <c r="D20" i="4" s="1"/>
  <c r="D21" i="4" s="1"/>
  <c r="F23" i="6" l="1"/>
  <c r="E23" i="6"/>
  <c r="D23" i="6"/>
  <c r="F45" i="3"/>
  <c r="F46" i="3" s="1"/>
  <c r="F47" i="3" s="1"/>
  <c r="G13" i="4"/>
  <c r="E45" i="3"/>
  <c r="E46" i="3" s="1"/>
  <c r="E47" i="3" s="1"/>
  <c r="E13" i="4"/>
  <c r="D44" i="3"/>
  <c r="C13" i="4" s="1"/>
  <c r="E24" i="6" l="1"/>
  <c r="D24" i="6"/>
  <c r="F24" i="6"/>
  <c r="E49" i="3"/>
  <c r="C14" i="4"/>
  <c r="D13" i="4"/>
  <c r="D22" i="4" s="1"/>
  <c r="D23" i="4" s="1"/>
  <c r="G14" i="4"/>
  <c r="H13" i="4"/>
  <c r="F22" i="4" s="1"/>
  <c r="F23" i="4" s="1"/>
  <c r="F49" i="3"/>
  <c r="E14" i="4"/>
  <c r="F13" i="4"/>
  <c r="E22" i="4" s="1"/>
  <c r="E23" i="4" s="1"/>
  <c r="D45" i="3"/>
  <c r="F25" i="6" l="1"/>
  <c r="D25" i="6"/>
  <c r="E25" i="6"/>
  <c r="E15" i="4"/>
  <c r="F15" i="4" s="1"/>
  <c r="E26" i="4" s="1"/>
  <c r="E27" i="4" s="1"/>
  <c r="F14" i="4"/>
  <c r="E24" i="4" s="1"/>
  <c r="E25" i="4" s="1"/>
  <c r="C15" i="4"/>
  <c r="D15" i="4" s="1"/>
  <c r="D26" i="4" s="1"/>
  <c r="D27" i="4" s="1"/>
  <c r="D14" i="4"/>
  <c r="D24" i="4" s="1"/>
  <c r="D25" i="4" s="1"/>
  <c r="G15" i="4"/>
  <c r="H15" i="4" s="1"/>
  <c r="F26" i="4" s="1"/>
  <c r="F27" i="4" s="1"/>
  <c r="H14" i="4"/>
  <c r="F24" i="4" s="1"/>
  <c r="F25" i="4" s="1"/>
  <c r="D46" i="3"/>
  <c r="D47" i="3" l="1"/>
  <c r="D49" i="3" s="1"/>
  <c r="H26" i="4"/>
  <c r="H25" i="4"/>
  <c r="D26" i="6"/>
  <c r="E26" i="6"/>
  <c r="F26" i="6"/>
  <c r="H24" i="4"/>
  <c r="F27" i="6" l="1"/>
  <c r="E27" i="6"/>
  <c r="E42" i="6" s="1"/>
  <c r="D27" i="6"/>
  <c r="D42" i="6" s="1"/>
  <c r="F42" i="6" l="1"/>
  <c r="E28" i="6"/>
  <c r="D28" i="6"/>
  <c r="F28" i="6"/>
  <c r="F29" i="6" l="1"/>
  <c r="D29" i="6"/>
  <c r="E29" i="6"/>
  <c r="D30" i="6" l="1"/>
  <c r="E30" i="6"/>
  <c r="F30" i="6"/>
  <c r="E31" i="6" l="1"/>
  <c r="F31" i="6"/>
  <c r="D31" i="6"/>
  <c r="F32" i="6" l="1"/>
  <c r="D32" i="6"/>
  <c r="E32" i="6"/>
  <c r="E33" i="6" l="1"/>
  <c r="D33" i="6"/>
  <c r="F33" i="6"/>
  <c r="D34" i="6" l="1"/>
  <c r="F34" i="6"/>
  <c r="E34" i="6"/>
  <c r="F35" i="6" l="1"/>
  <c r="E35" i="6"/>
  <c r="D35" i="6"/>
  <c r="E36" i="6" l="1"/>
  <c r="D36" i="6"/>
  <c r="F36" i="6"/>
  <c r="D37" i="6" l="1"/>
  <c r="F37" i="6"/>
  <c r="E37" i="6"/>
  <c r="F38" i="6" l="1"/>
  <c r="E38" i="6"/>
  <c r="D38" i="6"/>
  <c r="E39" i="6" l="1"/>
  <c r="D39" i="6"/>
  <c r="F39" i="6"/>
  <c r="D40" i="6" l="1"/>
  <c r="D43" i="6" s="1"/>
  <c r="F40" i="6"/>
  <c r="F43" i="6" s="1"/>
  <c r="E40" i="6"/>
  <c r="E43" i="6" s="1"/>
  <c r="E44" i="6" l="1"/>
  <c r="D44" i="6"/>
  <c r="F44" i="6"/>
  <c r="D45" i="6" l="1"/>
  <c r="F45" i="6"/>
  <c r="F46" i="6" s="1"/>
  <c r="F47" i="6" s="1"/>
  <c r="E45" i="6"/>
  <c r="E46" i="6" s="1"/>
  <c r="E47" i="6" s="1"/>
  <c r="D46" i="6" l="1"/>
  <c r="D47" i="6" s="1"/>
  <c r="F48" i="6"/>
  <c r="F50" i="6" s="1"/>
  <c r="E48" i="6"/>
  <c r="E50" i="6" s="1"/>
  <c r="D48" i="6" l="1"/>
  <c r="D50" i="6" s="1"/>
</calcChain>
</file>

<file path=xl/sharedStrings.xml><?xml version="1.0" encoding="utf-8"?>
<sst xmlns="http://schemas.openxmlformats.org/spreadsheetml/2006/main" count="226" uniqueCount="112">
  <si>
    <t>ZKZ [Tage]</t>
  </si>
  <si>
    <t>EKA [Monate]</t>
  </si>
  <si>
    <t>4 - 6 Monate</t>
  </si>
  <si>
    <t>7 - 9 Monate</t>
  </si>
  <si>
    <t>10 - 12 Monate</t>
  </si>
  <si>
    <t>13 - 24 Monate</t>
  </si>
  <si>
    <t>25 - 30 Monate</t>
  </si>
  <si>
    <t>&gt; 30 Monate nicht gekalbt</t>
  </si>
  <si>
    <t>&gt; 30 Monate gekalbt</t>
  </si>
  <si>
    <t>FAKTOR Bestandsergänzung</t>
  </si>
  <si>
    <t>Summe Wochen</t>
  </si>
  <si>
    <t>Korrekturfaktor ZKZ</t>
  </si>
  <si>
    <t>200 - 250 kg</t>
  </si>
  <si>
    <t>250 - 320 kg</t>
  </si>
  <si>
    <t>320 - 420 kg</t>
  </si>
  <si>
    <t>420 - 550 kg</t>
  </si>
  <si>
    <t>Alter</t>
  </si>
  <si>
    <t>Liegeboxenlänge [cm]</t>
  </si>
  <si>
    <t>Liegeboxenbreite [cm]</t>
  </si>
  <si>
    <t>115 - 120</t>
  </si>
  <si>
    <t xml:space="preserve">80 - 90 </t>
  </si>
  <si>
    <t>150 - 190</t>
  </si>
  <si>
    <t>120 - 130</t>
  </si>
  <si>
    <t>Kälberboxen</t>
  </si>
  <si>
    <t>Kälberlaufstall auf Stroh</t>
  </si>
  <si>
    <t>aufgerundet</t>
  </si>
  <si>
    <t>benötigte Liegeplätze für Bestandsergänzung alle 5 Jahre</t>
  </si>
  <si>
    <t>benötigte Liegeplätze für Bestandsergänzung alle 3 Jahre</t>
  </si>
  <si>
    <t>benötigte Liegeplätze für Bestandsergänzung alle 4 Jahre</t>
  </si>
  <si>
    <t>Liegeboxen 1,1 m</t>
  </si>
  <si>
    <t>Liegeboxen 1,2 m</t>
  </si>
  <si>
    <t>Liegeboxen 0,9 m breit</t>
  </si>
  <si>
    <t>Liegeboxen 1,0 m breit</t>
  </si>
  <si>
    <t>Platzbedarf Stallänge [m]</t>
  </si>
  <si>
    <t>Gesamtanzahl</t>
  </si>
  <si>
    <t>Liegelänge             [cm]</t>
  </si>
  <si>
    <t>Fressgangbreite              [cm]</t>
  </si>
  <si>
    <t>Gewicht                       (ca)</t>
  </si>
  <si>
    <t>SZENARIEN BESTANDSERGÄNZUNG (gelb = Eingabefeld)</t>
  </si>
  <si>
    <t>Länge Stallabschnitt II [m]</t>
  </si>
  <si>
    <t>Länge Stallabschnitt I [m]</t>
  </si>
  <si>
    <t>Länge Stallabschnitt III [m]</t>
  </si>
  <si>
    <t>SUMME [m]</t>
  </si>
  <si>
    <t xml:space="preserve">SZENARIEN </t>
  </si>
  <si>
    <t>B</t>
  </si>
  <si>
    <t>C</t>
  </si>
  <si>
    <t xml:space="preserve">A </t>
  </si>
  <si>
    <t>SUMME Szenario A [m]</t>
  </si>
  <si>
    <t>SUMME Szenario B [m]</t>
  </si>
  <si>
    <t>SUMME Szenario C [m]</t>
  </si>
  <si>
    <t>Stallplätze aufgerundet</t>
  </si>
  <si>
    <t>Liegeboxen &gt; 18 Mo. bis EKA</t>
  </si>
  <si>
    <t>&gt; 18 Monate bis EKA</t>
  </si>
  <si>
    <t xml:space="preserve">Milchkuhbestand </t>
  </si>
  <si>
    <t>Bemerkung</t>
  </si>
  <si>
    <t xml:space="preserve">3 - 6 Wochen </t>
  </si>
  <si>
    <t>7 - 13 Wochen</t>
  </si>
  <si>
    <t>Woche</t>
  </si>
  <si>
    <t>A</t>
  </si>
  <si>
    <t>JUNGTIER-STALLPLATZ-RECHNER (gelb = Eingabefeld)</t>
  </si>
  <si>
    <t>Es kann ein Puffer eingeplant werden, indem der Faktor verändert wird</t>
  </si>
  <si>
    <t>BEDARF JUNGVIEHSTALLPLÄTZE (Liegeboxen)</t>
  </si>
  <si>
    <t>VORHANDENE RESSOURCEN</t>
  </si>
  <si>
    <t>ZUSÄTZLICH BENÖTIGTE LIEGEBOXENLÄNGE BEACHTEN!</t>
  </si>
  <si>
    <t>Kälberverkäufe zwischen Monat 4 - 6 werden ab Monat 7 berücksichtigt</t>
  </si>
  <si>
    <t>Rinderverkäufe zwischen Monat 7 - 9 werden ab Monat 10 berücksichtigt</t>
  </si>
  <si>
    <t>Rinderverkäufe zwischen Monat 10 - 12 werden ab Monat 13 berücksichtigt</t>
  </si>
  <si>
    <t>Rinderverkäufe zwischen Monat 13 - 24 werden ab Monat 25 berücksichtigt</t>
  </si>
  <si>
    <t>ODER Verkauf Rinder</t>
  </si>
  <si>
    <t>Kühe und Jungkühe nach Bestandsergänzungsfaktor</t>
  </si>
  <si>
    <t xml:space="preserve">bis Woche 26 </t>
  </si>
  <si>
    <t xml:space="preserve">ab Monat 7 - 24 </t>
  </si>
  <si>
    <t>Anwendungsbeispiel: es verbleiben nur Tiere zur Bestandsergänzung im Betrieb</t>
  </si>
  <si>
    <t>Verkauf männlicher und ggfs. weiblicher Kälber ab Woche (Mittelwert)</t>
  </si>
  <si>
    <t>Kälberverluste 1. bis 4. Lebenswoche</t>
  </si>
  <si>
    <t>Kälberverluste 5. bis 26. Lebenswoche (2. bis 6. Lebensmonat)</t>
  </si>
  <si>
    <t>Kälberverluste werden in Woche 1 bis 4 mit fallendem Faktor berücksichtigt</t>
  </si>
  <si>
    <t>Kälberverkäufe werden wöchentlich berücksichtigt</t>
  </si>
  <si>
    <t>Totgeburten</t>
  </si>
  <si>
    <t>Basis: Milchkühe zuzüglich Kalbinnen nach Faktor Bestandsergänzung abzüglich Totgeburten</t>
  </si>
  <si>
    <r>
      <t>©</t>
    </r>
    <r>
      <rPr>
        <b/>
        <sz val="8.8000000000000007"/>
        <color theme="0"/>
        <rFont val="Calibri"/>
        <family val="2"/>
      </rPr>
      <t xml:space="preserve"> Prof. Dr. Benz, Dr. Seeger Stand März 2022</t>
    </r>
  </si>
  <si>
    <t>Kälberverluste ab 5. Woche werden anteilig berücksichtigt</t>
  </si>
  <si>
    <t>BEDARF LIEGEBOXEN FÜR TROCKENSTEHER</t>
  </si>
  <si>
    <t>Fressplatzbreite (cm)</t>
  </si>
  <si>
    <t>6 - 9 Monate (200-250 kg)</t>
  </si>
  <si>
    <t>9 - 12 Monate 250-320 kg)</t>
  </si>
  <si>
    <t>12 - 18 Monate (320-420 kg)</t>
  </si>
  <si>
    <t>&gt; 18 Monate (420-550 kg)</t>
  </si>
  <si>
    <t xml:space="preserve">ALLGEMEIN JUNGVIEH STALLPLÄTZE </t>
  </si>
  <si>
    <t xml:space="preserve"> Liegeflächenbedarf Zweiflächenbucht (m²)</t>
  </si>
  <si>
    <t>Auslauf gemäß EU-Öko-VO</t>
  </si>
  <si>
    <t>3 m²</t>
  </si>
  <si>
    <t>bis 350 kg 3 m², &gt; 350 kg 3,7 m²</t>
  </si>
  <si>
    <t>ABSCHÄTZUNG PLATZBEDARF FÜR JUNGVIEH-LIEGEBOXEN (grob orientierend, keine Berücksichtigung von Quergängen oder Abtrennungen)</t>
  </si>
  <si>
    <t>Abkalbungen saisonal innerhalb von (Anzahl Wochen)</t>
  </si>
  <si>
    <t>bei saisonaler Abkalbung wird ggf. ab dem 4. Monat um den Faktor Summe Wochen/Anzahl Wochen mit Abkalbung korrigiert</t>
  </si>
  <si>
    <t>Liegeboxen 7 - 9 Monate</t>
  </si>
  <si>
    <t>Liegeboxen 10 - 12 Monate</t>
  </si>
  <si>
    <t>Liegeboxen 13 - 18 Monate</t>
  </si>
  <si>
    <t>13 - 18 Monate</t>
  </si>
  <si>
    <t>mittlere Trockenstehdauer in Wochen</t>
  </si>
  <si>
    <t xml:space="preserve">Platzbedarf Trockensteher          </t>
  </si>
  <si>
    <t>1. Woche</t>
  </si>
  <si>
    <t>2. Woche</t>
  </si>
  <si>
    <r>
      <t>Es werden betriebliche Durchschnittszahlen eingetragen (Zielgröße für Totgeburten und alle Kälberverluste jeweils max. 5%)</t>
    </r>
    <r>
      <rPr>
        <vertAlign val="superscript"/>
        <sz val="10"/>
        <color theme="1"/>
        <rFont val="Calibri"/>
        <family val="2"/>
        <scheme val="minor"/>
      </rPr>
      <t>1</t>
    </r>
  </si>
  <si>
    <r>
      <rPr>
        <vertAlign val="superscript"/>
        <sz val="11"/>
        <color theme="1"/>
        <rFont val="Calibri"/>
        <family val="2"/>
        <scheme val="minor"/>
      </rPr>
      <t xml:space="preserve">1 </t>
    </r>
    <r>
      <rPr>
        <sz val="11"/>
        <color theme="1"/>
        <rFont val="Calibri"/>
        <family val="2"/>
        <scheme val="minor"/>
      </rPr>
      <t xml:space="preserve">Kälberverluste und Totgeburtenrate nehmen innerhalb des Berechnungstools eine Sonderstellung ein, denn sie gelten eigentlich nicht als Planungsgrößen für Stallplatzkapazitäten. Da die Ist-Situation jedoch im Durchschnitt von den Zielgrößen (jeweils max. 5%) deutlich abweicht und damit in der Praxis eine relevante Größenordnung hat, werden sie im Sinne der Transparenz berücksichtigt. Dadurch soll gleichzeitig die bewusste Auseinandersetzung mit individuellen betrieblichen Ausgangssituationen vor dem Hintergrund von Zielwerten unterstützt werden. </t>
    </r>
  </si>
  <si>
    <t>Bestandsergänzung                      alle 3 Jahre (33%)</t>
  </si>
  <si>
    <t>Bestandsergänzung                   alle 4 Jahre (25%)</t>
  </si>
  <si>
    <t>Bestandsergänzung                    alle 5 Jahre (20%)</t>
  </si>
  <si>
    <t>Bestandsergänzung alle 3 Jahre (33%)</t>
  </si>
  <si>
    <t>Bestandsergänzung alle 4 Jahre (25%)</t>
  </si>
  <si>
    <t>Bestandsergänzung alle 5 Jahre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</si>
</sst>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
  </numFmts>
  <fonts count="17"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b/>
      <sz val="11"/>
      <color theme="0"/>
      <name val="Calibri"/>
      <family val="2"/>
      <scheme val="minor"/>
    </font>
    <font>
      <b/>
      <sz val="11"/>
      <color theme="0"/>
      <name val="Calibri"/>
      <family val="2"/>
    </font>
    <font>
      <b/>
      <sz val="8.8000000000000007"/>
      <color theme="0"/>
      <name val="Calibri"/>
      <family val="2"/>
    </font>
    <font>
      <b/>
      <sz val="10"/>
      <color theme="1"/>
      <name val="Calibri"/>
      <family val="2"/>
      <scheme val="minor"/>
    </font>
    <font>
      <b/>
      <i/>
      <sz val="10"/>
      <color theme="1"/>
      <name val="Calibri"/>
      <family val="2"/>
      <scheme val="minor"/>
    </font>
    <font>
      <b/>
      <sz val="10"/>
      <color rgb="FFFF0000"/>
      <name val="Calibri"/>
      <family val="2"/>
      <scheme val="minor"/>
    </font>
    <font>
      <b/>
      <sz val="10"/>
      <name val="Calibri"/>
      <family val="2"/>
      <scheme val="minor"/>
    </font>
    <font>
      <sz val="10"/>
      <name val="Calibri"/>
      <family val="2"/>
      <scheme val="minor"/>
    </font>
    <font>
      <b/>
      <sz val="12"/>
      <color rgb="FFFF0000"/>
      <name val="Calibri"/>
      <family val="2"/>
      <scheme val="minor"/>
    </font>
    <font>
      <i/>
      <sz val="10"/>
      <color theme="1"/>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FFC9"/>
        <bgColor indexed="64"/>
      </patternFill>
    </fill>
    <fill>
      <patternFill patternType="solid">
        <fgColor theme="7" tint="0.59999389629810485"/>
        <bgColor indexed="64"/>
      </patternFill>
    </fill>
    <fill>
      <patternFill patternType="solid">
        <fgColor theme="8"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179">
    <xf numFmtId="0" fontId="0" fillId="0" borderId="0" xfId="0"/>
    <xf numFmtId="0" fontId="0" fillId="3" borderId="0" xfId="0" applyFill="1"/>
    <xf numFmtId="0" fontId="1" fillId="0" borderId="0" xfId="0" applyFont="1" applyFill="1"/>
    <xf numFmtId="0" fontId="0" fillId="0" borderId="0" xfId="0" applyProtection="1"/>
    <xf numFmtId="9" fontId="0" fillId="0" borderId="0" xfId="0" applyNumberFormat="1"/>
    <xf numFmtId="0" fontId="7" fillId="6" borderId="3" xfId="0" applyFont="1" applyFill="1" applyBorder="1" applyAlignment="1" applyProtection="1">
      <alignment horizontal="center" vertical="center"/>
      <protection locked="0"/>
    </xf>
    <xf numFmtId="0" fontId="3" fillId="2" borderId="0" xfId="0" applyFont="1" applyFill="1" applyBorder="1" applyProtection="1"/>
    <xf numFmtId="0" fontId="3" fillId="2" borderId="11" xfId="0" applyFont="1" applyFill="1" applyBorder="1" applyProtection="1"/>
    <xf numFmtId="0" fontId="7" fillId="6"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0" xfId="0" applyFont="1" applyFill="1" applyBorder="1" applyAlignment="1" applyProtection="1">
      <alignment horizontal="right"/>
    </xf>
    <xf numFmtId="165" fontId="3" fillId="2" borderId="11" xfId="0" applyNumberFormat="1" applyFont="1" applyFill="1" applyBorder="1" applyAlignment="1" applyProtection="1">
      <alignment horizontal="center"/>
    </xf>
    <xf numFmtId="9" fontId="7" fillId="6" borderId="1" xfId="1" applyFont="1" applyFill="1" applyBorder="1" applyAlignment="1" applyProtection="1">
      <alignment horizontal="center" vertical="center"/>
      <protection locked="0"/>
    </xf>
    <xf numFmtId="0" fontId="7" fillId="6" borderId="19" xfId="0" applyFont="1" applyFill="1" applyBorder="1" applyAlignment="1" applyProtection="1">
      <alignment horizontal="center" vertical="center"/>
      <protection locked="0"/>
    </xf>
    <xf numFmtId="0" fontId="7" fillId="2" borderId="15" xfId="0" applyFont="1" applyFill="1" applyBorder="1" applyAlignment="1" applyProtection="1">
      <alignment horizontal="left"/>
    </xf>
    <xf numFmtId="0" fontId="3" fillId="2" borderId="7" xfId="0" applyFont="1" applyFill="1" applyBorder="1" applyAlignment="1" applyProtection="1">
      <alignment horizontal="center" vertical="center"/>
    </xf>
    <xf numFmtId="1" fontId="3" fillId="2" borderId="1" xfId="0" applyNumberFormat="1" applyFont="1" applyFill="1" applyBorder="1" applyAlignment="1" applyProtection="1">
      <alignment horizontal="center" vertical="center"/>
    </xf>
    <xf numFmtId="0" fontId="3" fillId="2" borderId="1" xfId="0" applyFont="1" applyFill="1" applyBorder="1" applyProtection="1"/>
    <xf numFmtId="1" fontId="7" fillId="5" borderId="1" xfId="0" applyNumberFormat="1" applyFont="1" applyFill="1" applyBorder="1" applyAlignment="1" applyProtection="1">
      <alignment horizontal="center" vertical="center"/>
    </xf>
    <xf numFmtId="1" fontId="7" fillId="5" borderId="2" xfId="0" applyNumberFormat="1" applyFont="1" applyFill="1" applyBorder="1" applyAlignment="1" applyProtection="1">
      <alignment horizontal="center" vertical="center"/>
    </xf>
    <xf numFmtId="0" fontId="7" fillId="6" borderId="14"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wrapText="1"/>
    </xf>
    <xf numFmtId="164" fontId="3" fillId="5" borderId="1" xfId="0" applyNumberFormat="1" applyFont="1" applyFill="1" applyBorder="1" applyAlignment="1" applyProtection="1">
      <alignment horizontal="center" vertical="center"/>
    </xf>
    <xf numFmtId="164" fontId="3" fillId="5" borderId="2" xfId="0" applyNumberFormat="1" applyFont="1" applyFill="1" applyBorder="1" applyAlignment="1" applyProtection="1">
      <alignment horizontal="center" vertical="center"/>
    </xf>
    <xf numFmtId="0" fontId="7" fillId="5" borderId="7" xfId="0" applyFont="1" applyFill="1" applyBorder="1" applyAlignment="1" applyProtection="1">
      <alignment horizontal="center" vertical="center" wrapText="1"/>
    </xf>
    <xf numFmtId="0" fontId="7" fillId="6" borderId="11" xfId="0" applyFont="1" applyFill="1" applyBorder="1" applyAlignment="1" applyProtection="1">
      <alignment horizontal="center" vertical="center"/>
      <protection locked="0"/>
    </xf>
    <xf numFmtId="0" fontId="7" fillId="6" borderId="8" xfId="0" applyFont="1" applyFill="1" applyBorder="1" applyAlignment="1" applyProtection="1">
      <alignment horizontal="center" vertical="center"/>
      <protection locked="0"/>
    </xf>
    <xf numFmtId="0" fontId="7" fillId="5" borderId="6" xfId="0" applyFont="1" applyFill="1" applyBorder="1" applyAlignment="1" applyProtection="1">
      <alignment horizontal="center" vertical="center" wrapText="1"/>
    </xf>
    <xf numFmtId="164" fontId="9" fillId="5" borderId="14" xfId="0" applyNumberFormat="1" applyFont="1" applyFill="1" applyBorder="1" applyAlignment="1" applyProtection="1">
      <alignment horizontal="center" vertical="center"/>
    </xf>
    <xf numFmtId="164" fontId="9" fillId="5" borderId="8" xfId="0" applyNumberFormat="1" applyFont="1" applyFill="1" applyBorder="1" applyAlignment="1" applyProtection="1">
      <alignment horizontal="center" vertical="center"/>
    </xf>
    <xf numFmtId="0" fontId="7" fillId="5" borderId="9" xfId="0" applyFont="1" applyFill="1" applyBorder="1" applyAlignment="1" applyProtection="1">
      <alignment horizontal="center" vertical="center" wrapText="1"/>
    </xf>
    <xf numFmtId="164" fontId="9" fillId="5" borderId="10" xfId="0" applyNumberFormat="1" applyFont="1" applyFill="1" applyBorder="1" applyAlignment="1" applyProtection="1">
      <alignment horizontal="center" vertical="center"/>
    </xf>
    <xf numFmtId="0" fontId="3" fillId="5" borderId="19" xfId="0" applyFont="1" applyFill="1" applyBorder="1" applyAlignment="1" applyProtection="1">
      <alignment horizontal="center" vertical="center" wrapText="1"/>
    </xf>
    <xf numFmtId="164" fontId="3" fillId="5" borderId="19" xfId="0" applyNumberFormat="1" applyFont="1" applyFill="1" applyBorder="1" applyAlignment="1" applyProtection="1">
      <alignment horizontal="center" vertical="center"/>
    </xf>
    <xf numFmtId="164" fontId="11" fillId="5" borderId="19" xfId="0" applyNumberFormat="1" applyFont="1" applyFill="1" applyBorder="1" applyAlignment="1" applyProtection="1">
      <alignment horizontal="center" vertical="center"/>
    </xf>
    <xf numFmtId="0" fontId="7" fillId="2" borderId="1" xfId="0" applyFont="1" applyFill="1" applyBorder="1" applyAlignment="1" applyProtection="1">
      <alignment horizontal="left" vertical="center" wrapText="1"/>
    </xf>
    <xf numFmtId="1" fontId="7" fillId="2" borderId="1" xfId="0" applyNumberFormat="1" applyFont="1" applyFill="1" applyBorder="1" applyAlignment="1" applyProtection="1">
      <alignment horizontal="center" vertical="center"/>
    </xf>
    <xf numFmtId="0" fontId="8" fillId="2" borderId="1" xfId="0" applyFont="1" applyFill="1" applyBorder="1" applyAlignment="1" applyProtection="1">
      <alignment vertical="center"/>
    </xf>
    <xf numFmtId="0" fontId="8" fillId="6" borderId="1" xfId="0" applyFont="1" applyFill="1" applyBorder="1" applyAlignment="1" applyProtection="1">
      <alignment horizontal="center" vertical="center" wrapText="1"/>
      <protection locked="0"/>
    </xf>
    <xf numFmtId="2" fontId="8" fillId="6" borderId="1" xfId="0" applyNumberFormat="1"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xf>
    <xf numFmtId="0" fontId="7" fillId="8" borderId="3" xfId="0" applyFont="1" applyFill="1" applyBorder="1" applyAlignment="1" applyProtection="1">
      <alignment horizontal="center" vertical="center" wrapText="1"/>
    </xf>
    <xf numFmtId="0" fontId="7" fillId="8" borderId="14" xfId="0" applyFont="1" applyFill="1" applyBorder="1" applyAlignment="1" applyProtection="1">
      <alignment horizontal="center" vertical="center"/>
    </xf>
    <xf numFmtId="0" fontId="3" fillId="8" borderId="1" xfId="0" applyFont="1" applyFill="1" applyBorder="1" applyProtection="1"/>
    <xf numFmtId="0" fontId="10" fillId="8" borderId="3" xfId="0" applyFont="1" applyFill="1" applyBorder="1" applyAlignment="1" applyProtection="1">
      <alignment horizontal="center" vertical="center" wrapText="1"/>
    </xf>
    <xf numFmtId="0" fontId="7" fillId="9" borderId="13" xfId="0" applyFont="1" applyFill="1" applyBorder="1" applyAlignment="1" applyProtection="1">
      <alignment horizontal="center" vertical="center" wrapText="1"/>
    </xf>
    <xf numFmtId="0" fontId="7" fillId="9" borderId="7" xfId="0" applyFont="1" applyFill="1" applyBorder="1" applyAlignment="1" applyProtection="1">
      <alignment horizontal="center" vertical="center" wrapText="1"/>
    </xf>
    <xf numFmtId="0" fontId="7" fillId="9" borderId="12" xfId="0" applyFont="1" applyFill="1" applyBorder="1" applyAlignment="1" applyProtection="1">
      <alignment horizontal="center" vertical="center"/>
    </xf>
    <xf numFmtId="0" fontId="7" fillId="9" borderId="8" xfId="0" applyFont="1" applyFill="1" applyBorder="1" applyAlignment="1" applyProtection="1">
      <alignment horizontal="center" vertical="center"/>
    </xf>
    <xf numFmtId="0" fontId="7" fillId="8" borderId="1" xfId="0" applyFont="1" applyFill="1" applyBorder="1" applyAlignment="1" applyProtection="1">
      <alignment horizontal="center" vertical="center" wrapText="1"/>
    </xf>
    <xf numFmtId="0" fontId="7" fillId="8" borderId="1" xfId="0" applyFont="1" applyFill="1" applyBorder="1" applyAlignment="1" applyProtection="1">
      <alignment horizontal="left" vertical="center" wrapText="1"/>
    </xf>
    <xf numFmtId="2" fontId="7" fillId="2" borderId="8" xfId="0" applyNumberFormat="1"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5" fillId="7" borderId="42" xfId="0" applyFont="1" applyFill="1" applyBorder="1" applyAlignment="1">
      <alignment horizontal="center" vertical="center" wrapText="1"/>
    </xf>
    <xf numFmtId="0" fontId="8" fillId="10" borderId="19" xfId="0" applyFont="1" applyFill="1" applyBorder="1" applyAlignment="1" applyProtection="1">
      <alignment horizontal="center" vertical="center"/>
      <protection locked="0"/>
    </xf>
    <xf numFmtId="0" fontId="7" fillId="8" borderId="3"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2" borderId="2" xfId="0" applyFont="1" applyFill="1" applyBorder="1" applyAlignment="1" applyProtection="1">
      <alignment vertical="center"/>
    </xf>
    <xf numFmtId="0" fontId="13" fillId="2" borderId="2" xfId="0" applyFont="1" applyFill="1" applyBorder="1" applyAlignment="1" applyProtection="1">
      <alignment vertical="center" wrapText="1"/>
    </xf>
    <xf numFmtId="0" fontId="3" fillId="2" borderId="2" xfId="0" applyFont="1" applyFill="1" applyBorder="1" applyAlignment="1" applyProtection="1"/>
    <xf numFmtId="0" fontId="3" fillId="4" borderId="1" xfId="0" applyFont="1" applyFill="1" applyBorder="1" applyAlignment="1" applyProtection="1">
      <alignment horizontal="center" vertical="center"/>
    </xf>
    <xf numFmtId="1" fontId="7" fillId="2" borderId="4" xfId="0" applyNumberFormat="1" applyFont="1" applyFill="1" applyBorder="1" applyAlignment="1" applyProtection="1">
      <alignment horizontal="center" vertical="center"/>
    </xf>
    <xf numFmtId="0" fontId="3" fillId="2" borderId="2" xfId="0" applyFont="1" applyFill="1" applyBorder="1" applyAlignment="1" applyProtection="1">
      <alignment horizontal="left"/>
    </xf>
    <xf numFmtId="0" fontId="7" fillId="4" borderId="1" xfId="0" applyFont="1" applyFill="1" applyBorder="1" applyAlignment="1" applyProtection="1">
      <alignment horizontal="center" vertical="center" wrapText="1"/>
    </xf>
    <xf numFmtId="1" fontId="7" fillId="2" borderId="8" xfId="0" applyNumberFormat="1" applyFont="1" applyFill="1" applyBorder="1" applyAlignment="1" applyProtection="1">
      <alignment horizontal="center" vertical="center"/>
    </xf>
    <xf numFmtId="164" fontId="14" fillId="2" borderId="1" xfId="0" applyNumberFormat="1"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7" fillId="2" borderId="35" xfId="0" applyFont="1" applyFill="1" applyBorder="1" applyAlignment="1" applyProtection="1">
      <alignment horizontal="center" vertical="center"/>
    </xf>
    <xf numFmtId="0" fontId="7" fillId="2" borderId="36"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xf>
    <xf numFmtId="1" fontId="0" fillId="0" borderId="0" xfId="0" applyNumberFormat="1"/>
    <xf numFmtId="0" fontId="3" fillId="2" borderId="49" xfId="0" applyFont="1" applyFill="1" applyBorder="1" applyAlignment="1" applyProtection="1">
      <alignment horizontal="left"/>
    </xf>
    <xf numFmtId="0" fontId="3" fillId="2" borderId="49" xfId="0" applyFont="1" applyFill="1" applyBorder="1" applyAlignment="1" applyProtection="1"/>
    <xf numFmtId="0" fontId="7" fillId="12" borderId="50" xfId="0" applyFont="1" applyFill="1" applyBorder="1" applyAlignment="1" applyProtection="1">
      <alignment horizontal="center" vertical="center"/>
    </xf>
    <xf numFmtId="1" fontId="7" fillId="12" borderId="50" xfId="0" applyNumberFormat="1" applyFont="1" applyFill="1" applyBorder="1" applyAlignment="1" applyProtection="1">
      <alignment horizontal="center" vertical="center"/>
    </xf>
    <xf numFmtId="0" fontId="7" fillId="12" borderId="1" xfId="0" applyFont="1" applyFill="1" applyBorder="1" applyAlignment="1" applyProtection="1">
      <alignment horizontal="center" vertical="center"/>
    </xf>
    <xf numFmtId="0" fontId="7" fillId="12" borderId="1" xfId="0" applyFont="1" applyFill="1" applyBorder="1" applyAlignment="1" applyProtection="1">
      <alignment horizontal="center" vertical="center" wrapText="1"/>
    </xf>
    <xf numFmtId="0" fontId="0" fillId="0" borderId="0" xfId="0" applyProtection="1">
      <protection locked="0"/>
    </xf>
    <xf numFmtId="0" fontId="5" fillId="7" borderId="42" xfId="0" applyFont="1" applyFill="1" applyBorder="1" applyAlignment="1" applyProtection="1">
      <alignment horizontal="center" vertical="center" wrapText="1"/>
    </xf>
    <xf numFmtId="0" fontId="7" fillId="8" borderId="3" xfId="0" applyFont="1" applyFill="1" applyBorder="1" applyAlignment="1" applyProtection="1">
      <alignment horizontal="center" vertical="center"/>
    </xf>
    <xf numFmtId="0" fontId="3" fillId="2" borderId="1" xfId="0" applyFont="1" applyFill="1" applyBorder="1" applyAlignment="1" applyProtection="1">
      <alignment horizontal="left" vertical="center"/>
    </xf>
    <xf numFmtId="0" fontId="3" fillId="2" borderId="5" xfId="0" applyFont="1" applyFill="1" applyBorder="1" applyAlignment="1" applyProtection="1">
      <alignment horizontal="left"/>
    </xf>
    <xf numFmtId="0" fontId="3" fillId="2" borderId="16" xfId="0" applyFont="1" applyFill="1" applyBorder="1" applyAlignment="1" applyProtection="1">
      <alignment horizontal="left"/>
    </xf>
    <xf numFmtId="0" fontId="0" fillId="0" borderId="12" xfId="0" applyBorder="1" applyAlignment="1">
      <alignment horizontal="left" vertical="top" wrapText="1"/>
    </xf>
    <xf numFmtId="0" fontId="0" fillId="0" borderId="51" xfId="0" applyBorder="1" applyAlignment="1">
      <alignment horizontal="left" vertical="top" wrapText="1"/>
    </xf>
    <xf numFmtId="0" fontId="0" fillId="0" borderId="52" xfId="0" applyBorder="1" applyAlignment="1">
      <alignment horizontal="left" vertical="top" wrapText="1"/>
    </xf>
    <xf numFmtId="0" fontId="3" fillId="2" borderId="7" xfId="0" applyFont="1" applyFill="1" applyBorder="1" applyAlignment="1" applyProtection="1">
      <alignment vertical="center"/>
    </xf>
    <xf numFmtId="0" fontId="3" fillId="2" borderId="1" xfId="0" applyFont="1" applyFill="1" applyBorder="1" applyAlignment="1" applyProtection="1">
      <alignment vertical="center"/>
    </xf>
    <xf numFmtId="0" fontId="3" fillId="2" borderId="1"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7" xfId="0" applyFont="1" applyFill="1" applyBorder="1" applyAlignment="1" applyProtection="1">
      <alignment horizontal="center"/>
    </xf>
    <xf numFmtId="0" fontId="3" fillId="2" borderId="1" xfId="0" applyFont="1" applyFill="1" applyBorder="1" applyAlignment="1" applyProtection="1">
      <alignment horizontal="center"/>
    </xf>
    <xf numFmtId="0" fontId="7" fillId="2" borderId="24" xfId="0" applyFont="1" applyFill="1" applyBorder="1" applyAlignment="1" applyProtection="1">
      <alignment horizontal="center" vertical="center"/>
    </xf>
    <xf numFmtId="0" fontId="7" fillId="2" borderId="39" xfId="0" applyFont="1" applyFill="1" applyBorder="1" applyAlignment="1" applyProtection="1">
      <alignment horizontal="center" vertical="center"/>
    </xf>
    <xf numFmtId="0" fontId="7" fillId="2" borderId="17" xfId="0" applyFont="1" applyFill="1" applyBorder="1" applyAlignment="1" applyProtection="1">
      <alignment horizontal="center" vertical="center"/>
    </xf>
    <xf numFmtId="0" fontId="3" fillId="2" borderId="2" xfId="0" applyFont="1" applyFill="1" applyBorder="1" applyAlignment="1" applyProtection="1">
      <alignment horizontal="left"/>
    </xf>
    <xf numFmtId="0" fontId="3" fillId="2" borderId="49" xfId="0" applyFont="1" applyFill="1" applyBorder="1" applyAlignment="1" applyProtection="1">
      <alignment horizontal="left"/>
    </xf>
    <xf numFmtId="0" fontId="3" fillId="2" borderId="24" xfId="0" applyFont="1" applyFill="1" applyBorder="1" applyAlignment="1" applyProtection="1">
      <alignment vertical="center"/>
    </xf>
    <xf numFmtId="0" fontId="3" fillId="2" borderId="17" xfId="0" applyFont="1" applyFill="1" applyBorder="1" applyAlignment="1" applyProtection="1">
      <alignment vertical="center"/>
    </xf>
    <xf numFmtId="0" fontId="3" fillId="2" borderId="21" xfId="0" applyFont="1" applyFill="1" applyBorder="1" applyAlignment="1" applyProtection="1">
      <alignment horizontal="left" vertical="center" wrapText="1"/>
    </xf>
    <xf numFmtId="0" fontId="3" fillId="2" borderId="26" xfId="0" applyFont="1" applyFill="1" applyBorder="1" applyAlignment="1" applyProtection="1">
      <alignment horizontal="left" vertical="center" wrapText="1"/>
    </xf>
    <xf numFmtId="0" fontId="3" fillId="2" borderId="2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3" fillId="2" borderId="22" xfId="0" applyFont="1" applyFill="1" applyBorder="1" applyAlignment="1" applyProtection="1">
      <alignment horizontal="left" vertical="center" wrapText="1"/>
    </xf>
    <xf numFmtId="0" fontId="3" fillId="2" borderId="25" xfId="0" applyFont="1" applyFill="1" applyBorder="1" applyAlignment="1" applyProtection="1">
      <alignment horizontal="left" vertical="center" wrapText="1"/>
    </xf>
    <xf numFmtId="0" fontId="8" fillId="2" borderId="7"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3" fillId="2" borderId="24" xfId="0" applyFont="1" applyFill="1" applyBorder="1" applyAlignment="1" applyProtection="1">
      <alignment horizontal="left" vertical="center"/>
    </xf>
    <xf numFmtId="0" fontId="3" fillId="2" borderId="17" xfId="0" applyFont="1" applyFill="1" applyBorder="1" applyAlignment="1" applyProtection="1">
      <alignment horizontal="left" vertical="center"/>
    </xf>
    <xf numFmtId="0" fontId="7" fillId="2" borderId="21"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7" fillId="2" borderId="34" xfId="0" applyFont="1" applyFill="1" applyBorder="1" applyAlignment="1" applyProtection="1">
      <alignment horizontal="center" vertical="center"/>
    </xf>
    <xf numFmtId="0" fontId="7" fillId="2" borderId="35" xfId="0" applyFont="1" applyFill="1" applyBorder="1" applyAlignment="1" applyProtection="1">
      <alignment horizontal="center" vertical="center"/>
    </xf>
    <xf numFmtId="0" fontId="7" fillId="2" borderId="36" xfId="0" applyFont="1" applyFill="1" applyBorder="1" applyAlignment="1" applyProtection="1">
      <alignment horizontal="center" vertical="center"/>
    </xf>
    <xf numFmtId="0" fontId="4" fillId="7" borderId="40" xfId="0" applyFont="1" applyFill="1" applyBorder="1" applyAlignment="1" applyProtection="1">
      <alignment horizontal="center" vertical="center"/>
    </xf>
    <xf numFmtId="0" fontId="4" fillId="7" borderId="41"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2" borderId="37" xfId="0" applyFont="1" applyFill="1" applyBorder="1" applyAlignment="1" applyProtection="1">
      <alignment horizontal="center" vertical="center"/>
    </xf>
    <xf numFmtId="0" fontId="7" fillId="2" borderId="38"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3" fillId="2" borderId="26"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xf>
    <xf numFmtId="0" fontId="8" fillId="2" borderId="39"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3" fillId="2" borderId="21"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9" xfId="0" applyFont="1" applyFill="1" applyBorder="1" applyAlignment="1" applyProtection="1">
      <alignment horizontal="center"/>
    </xf>
    <xf numFmtId="0" fontId="3" fillId="2" borderId="50"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49" xfId="0" applyFont="1" applyFill="1" applyBorder="1" applyAlignment="1" applyProtection="1">
      <alignment horizontal="center"/>
    </xf>
    <xf numFmtId="0" fontId="3" fillId="2" borderId="50"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4" fillId="7" borderId="40" xfId="0" applyFont="1" applyFill="1" applyBorder="1" applyAlignment="1">
      <alignment horizontal="center" vertical="center"/>
    </xf>
    <xf numFmtId="0" fontId="4" fillId="7" borderId="41" xfId="0" applyFont="1" applyFill="1" applyBorder="1" applyAlignment="1">
      <alignment horizontal="center" vertical="center"/>
    </xf>
    <xf numFmtId="0" fontId="7" fillId="5" borderId="7"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12" fillId="5" borderId="37" xfId="0" applyFont="1" applyFill="1" applyBorder="1" applyAlignment="1" applyProtection="1">
      <alignment horizontal="center" vertical="center" wrapText="1"/>
    </xf>
    <xf numFmtId="0" fontId="12" fillId="5" borderId="38" xfId="0" applyFont="1" applyFill="1" applyBorder="1" applyAlignment="1" applyProtection="1">
      <alignment horizontal="center" vertical="center" wrapText="1"/>
    </xf>
    <xf numFmtId="0" fontId="3" fillId="12" borderId="7" xfId="0" applyFont="1" applyFill="1" applyBorder="1" applyAlignment="1" applyProtection="1">
      <alignment horizontal="center"/>
    </xf>
    <xf numFmtId="0" fontId="3" fillId="12" borderId="1" xfId="0" applyFont="1" applyFill="1" applyBorder="1" applyAlignment="1" applyProtection="1">
      <alignment horizontal="center"/>
    </xf>
    <xf numFmtId="0" fontId="7" fillId="8" borderId="28"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7" fillId="8" borderId="29" xfId="0" applyFont="1" applyFill="1" applyBorder="1" applyAlignment="1" applyProtection="1">
      <alignment horizontal="center" vertical="center"/>
    </xf>
    <xf numFmtId="0" fontId="7" fillId="8" borderId="30" xfId="0" applyFont="1" applyFill="1" applyBorder="1" applyAlignment="1" applyProtection="1">
      <alignment horizontal="center" vertical="center" wrapText="1"/>
    </xf>
    <xf numFmtId="0" fontId="7" fillId="8" borderId="31" xfId="0" applyFont="1" applyFill="1" applyBorder="1" applyAlignment="1" applyProtection="1">
      <alignment horizontal="center" vertical="center" wrapText="1"/>
    </xf>
    <xf numFmtId="0" fontId="7" fillId="8" borderId="27" xfId="0" applyFont="1" applyFill="1" applyBorder="1" applyAlignment="1" applyProtection="1">
      <alignment horizontal="center" vertical="center" wrapText="1"/>
    </xf>
    <xf numFmtId="0" fontId="7" fillId="8" borderId="20" xfId="0" applyFont="1" applyFill="1" applyBorder="1" applyAlignment="1" applyProtection="1">
      <alignment horizontal="center" vertical="center" wrapText="1"/>
    </xf>
    <xf numFmtId="0" fontId="10" fillId="9" borderId="32" xfId="0" applyFont="1" applyFill="1" applyBorder="1" applyAlignment="1" applyProtection="1">
      <alignment horizontal="center" vertical="center"/>
    </xf>
    <xf numFmtId="0" fontId="10" fillId="9" borderId="33" xfId="0" applyFont="1" applyFill="1" applyBorder="1" applyAlignment="1" applyProtection="1">
      <alignment horizontal="center" vertical="center"/>
    </xf>
    <xf numFmtId="0" fontId="10" fillId="9" borderId="22" xfId="0" applyFont="1" applyFill="1" applyBorder="1" applyAlignment="1" applyProtection="1">
      <alignment horizontal="center" vertical="center"/>
    </xf>
    <xf numFmtId="0" fontId="10" fillId="9" borderId="25" xfId="0" applyFont="1" applyFill="1" applyBorder="1" applyAlignment="1" applyProtection="1">
      <alignment horizontal="center" vertical="center"/>
    </xf>
    <xf numFmtId="0" fontId="3" fillId="4" borderId="19"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1" xfId="0" applyFont="1" applyFill="1" applyBorder="1" applyAlignment="1" applyProtection="1">
      <alignment horizontal="center" vertical="center"/>
    </xf>
    <xf numFmtId="0" fontId="3" fillId="4" borderId="7"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7" fillId="8" borderId="13"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15" xfId="0" applyFont="1" applyFill="1" applyBorder="1" applyAlignment="1" applyProtection="1">
      <alignment horizontal="center" vertical="center"/>
    </xf>
    <xf numFmtId="0" fontId="7" fillId="8" borderId="18" xfId="0" applyFont="1" applyFill="1" applyBorder="1" applyAlignment="1" applyProtection="1">
      <alignment horizontal="center" vertical="center"/>
    </xf>
    <xf numFmtId="0" fontId="7" fillId="8" borderId="27" xfId="0" applyFont="1" applyFill="1" applyBorder="1" applyAlignment="1" applyProtection="1">
      <alignment horizontal="center" vertical="center"/>
    </xf>
    <xf numFmtId="0" fontId="7" fillId="8" borderId="20" xfId="0" applyFont="1" applyFill="1" applyBorder="1" applyAlignment="1" applyProtection="1">
      <alignment horizontal="center" vertical="center"/>
    </xf>
    <xf numFmtId="0" fontId="7" fillId="11" borderId="7" xfId="0" applyFont="1" applyFill="1" applyBorder="1" applyAlignment="1" applyProtection="1">
      <alignment horizontal="center" vertical="center" wrapText="1"/>
    </xf>
    <xf numFmtId="0" fontId="7" fillId="11" borderId="1" xfId="0" applyFont="1" applyFill="1" applyBorder="1" applyAlignment="1" applyProtection="1">
      <alignment horizontal="center" vertical="center" wrapText="1"/>
    </xf>
    <xf numFmtId="0" fontId="7" fillId="8" borderId="46" xfId="0" applyFont="1" applyFill="1" applyBorder="1" applyAlignment="1" applyProtection="1">
      <alignment horizontal="center" vertical="center"/>
    </xf>
    <xf numFmtId="0" fontId="7" fillId="8" borderId="47" xfId="0" applyFont="1" applyFill="1" applyBorder="1" applyAlignment="1" applyProtection="1">
      <alignment horizontal="center" vertical="center"/>
    </xf>
    <xf numFmtId="0" fontId="7" fillId="8" borderId="48" xfId="0" applyFont="1" applyFill="1" applyBorder="1" applyAlignment="1" applyProtection="1">
      <alignment horizontal="center" vertical="center"/>
    </xf>
  </cellXfs>
  <cellStyles count="2">
    <cellStyle name="Prozent" xfId="1" builtinId="5"/>
    <cellStyle name="Standard" xfId="0" builtinId="0"/>
  </cellStyles>
  <dxfs count="0"/>
  <tableStyles count="0" defaultTableStyle="TableStyleMedium2" defaultPivotStyle="PivotStyleLight16"/>
  <colors>
    <mruColors>
      <color rgb="FFFFFFC9"/>
      <color rgb="FFFFF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832644</xdr:colOff>
      <xdr:row>2</xdr:row>
      <xdr:rowOff>54768</xdr:rowOff>
    </xdr:from>
    <xdr:ext cx="65" cy="172227"/>
    <xdr:sp macro="" textlink="">
      <xdr:nvSpPr>
        <xdr:cNvPr id="2" name="Textfeld 1">
          <a:extLst>
            <a:ext uri="{FF2B5EF4-FFF2-40B4-BE49-F238E27FC236}">
              <a16:creationId xmlns:a16="http://schemas.microsoft.com/office/drawing/2014/main" id="{50FACC99-4F3D-4008-999A-9B5C0893D985}"/>
            </a:ext>
          </a:extLst>
        </xdr:cNvPr>
        <xdr:cNvSpPr txBox="1"/>
      </xdr:nvSpPr>
      <xdr:spPr>
        <a:xfrm>
          <a:off x="6757194" y="79771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832644</xdr:colOff>
      <xdr:row>2</xdr:row>
      <xdr:rowOff>54768</xdr:rowOff>
    </xdr:from>
    <xdr:ext cx="65" cy="172227"/>
    <xdr:sp macro="" textlink="">
      <xdr:nvSpPr>
        <xdr:cNvPr id="2" name="Textfeld 1">
          <a:extLst>
            <a:ext uri="{FF2B5EF4-FFF2-40B4-BE49-F238E27FC236}">
              <a16:creationId xmlns:a16="http://schemas.microsoft.com/office/drawing/2014/main" id="{50FACC99-4F3D-4008-999A-9B5C0893D985}"/>
            </a:ext>
          </a:extLst>
        </xdr:cNvPr>
        <xdr:cNvSpPr txBox="1"/>
      </xdr:nvSpPr>
      <xdr:spPr>
        <a:xfrm>
          <a:off x="6992144" y="81041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1"/>
  <sheetViews>
    <sheetView tabSelected="1" topLeftCell="A6" zoomScaleNormal="100" workbookViewId="0">
      <selection activeCell="D13" sqref="D13"/>
    </sheetView>
  </sheetViews>
  <sheetFormatPr baseColWidth="10" defaultRowHeight="15" x14ac:dyDescent="0.25"/>
  <cols>
    <col min="2" max="2" width="23.85546875" customWidth="1"/>
    <col min="3" max="3" width="15.85546875" customWidth="1"/>
    <col min="4" max="5" width="18.85546875" customWidth="1"/>
    <col min="6" max="6" width="19.42578125" customWidth="1"/>
    <col min="7" max="7" width="19.5703125" customWidth="1"/>
    <col min="8" max="8" width="37.5703125" customWidth="1"/>
  </cols>
  <sheetData>
    <row r="1" spans="1:15" ht="35.1" customHeight="1" thickBot="1" x14ac:dyDescent="0.3">
      <c r="A1" s="116" t="s">
        <v>59</v>
      </c>
      <c r="B1" s="117"/>
      <c r="C1" s="117"/>
      <c r="D1" s="117"/>
      <c r="E1" s="117"/>
      <c r="F1" s="117"/>
      <c r="G1" s="117"/>
      <c r="H1" s="80" t="s">
        <v>80</v>
      </c>
    </row>
    <row r="2" spans="1:15" ht="24.6" customHeight="1" x14ac:dyDescent="0.25">
      <c r="A2" s="118" t="s">
        <v>38</v>
      </c>
      <c r="B2" s="119"/>
      <c r="C2" s="119"/>
      <c r="D2" s="119"/>
      <c r="E2" s="119"/>
      <c r="F2" s="120"/>
      <c r="G2" s="121" t="s">
        <v>54</v>
      </c>
      <c r="H2" s="122"/>
    </row>
    <row r="3" spans="1:15" ht="20.100000000000001" customHeight="1" x14ac:dyDescent="0.25">
      <c r="A3" s="113" t="s">
        <v>53</v>
      </c>
      <c r="B3" s="114"/>
      <c r="C3" s="114"/>
      <c r="D3" s="114"/>
      <c r="E3" s="115"/>
      <c r="F3" s="5">
        <v>125</v>
      </c>
      <c r="G3" s="6"/>
      <c r="H3" s="7"/>
    </row>
    <row r="4" spans="1:15" ht="20.100000000000001" customHeight="1" x14ac:dyDescent="0.25">
      <c r="A4" s="113" t="s">
        <v>0</v>
      </c>
      <c r="B4" s="114"/>
      <c r="C4" s="114"/>
      <c r="D4" s="114"/>
      <c r="E4" s="115"/>
      <c r="F4" s="8">
        <v>420</v>
      </c>
      <c r="G4" s="82" t="s">
        <v>11</v>
      </c>
      <c r="H4" s="51">
        <f>365/F4</f>
        <v>0.86904761904761907</v>
      </c>
    </row>
    <row r="5" spans="1:15" ht="20.100000000000001" customHeight="1" x14ac:dyDescent="0.25">
      <c r="A5" s="113" t="s">
        <v>1</v>
      </c>
      <c r="B5" s="114"/>
      <c r="C5" s="114"/>
      <c r="D5" s="114"/>
      <c r="E5" s="115"/>
      <c r="F5" s="8">
        <v>28</v>
      </c>
      <c r="G5" s="10"/>
      <c r="H5" s="11"/>
    </row>
    <row r="6" spans="1:15" ht="20.100000000000001" customHeight="1" x14ac:dyDescent="0.25">
      <c r="A6" s="94" t="s">
        <v>78</v>
      </c>
      <c r="B6" s="95"/>
      <c r="C6" s="95"/>
      <c r="D6" s="95"/>
      <c r="E6" s="96"/>
      <c r="F6" s="12">
        <v>0.05</v>
      </c>
      <c r="G6" s="130" t="s">
        <v>104</v>
      </c>
      <c r="H6" s="125"/>
    </row>
    <row r="7" spans="1:15" ht="20.100000000000001" customHeight="1" x14ac:dyDescent="0.25">
      <c r="A7" s="113" t="s">
        <v>74</v>
      </c>
      <c r="B7" s="114"/>
      <c r="C7" s="114"/>
      <c r="D7" s="114"/>
      <c r="E7" s="115"/>
      <c r="F7" s="12">
        <v>0.03</v>
      </c>
      <c r="G7" s="131"/>
      <c r="H7" s="132"/>
    </row>
    <row r="8" spans="1:15" ht="20.100000000000001" customHeight="1" x14ac:dyDescent="0.25">
      <c r="A8" s="113" t="s">
        <v>75</v>
      </c>
      <c r="B8" s="114"/>
      <c r="C8" s="114"/>
      <c r="D8" s="114"/>
      <c r="E8" s="115"/>
      <c r="F8" s="12">
        <v>0.01</v>
      </c>
      <c r="G8" s="133"/>
      <c r="H8" s="126"/>
    </row>
    <row r="9" spans="1:15" ht="20.100000000000001" customHeight="1" x14ac:dyDescent="0.25">
      <c r="A9" s="123" t="s">
        <v>73</v>
      </c>
      <c r="B9" s="124"/>
      <c r="C9" s="124"/>
      <c r="D9" s="124"/>
      <c r="E9" s="124"/>
      <c r="F9" s="13">
        <v>10</v>
      </c>
      <c r="G9" s="57" t="s">
        <v>70</v>
      </c>
      <c r="H9" s="125" t="s">
        <v>72</v>
      </c>
    </row>
    <row r="10" spans="1:15" ht="28.5" customHeight="1" x14ac:dyDescent="0.25">
      <c r="A10" s="127" t="s">
        <v>68</v>
      </c>
      <c r="B10" s="128"/>
      <c r="C10" s="128"/>
      <c r="D10" s="128"/>
      <c r="E10" s="129"/>
      <c r="F10" s="54">
        <v>0</v>
      </c>
      <c r="G10" s="58" t="s">
        <v>71</v>
      </c>
      <c r="H10" s="126"/>
    </row>
    <row r="11" spans="1:15" ht="26.45" customHeight="1" x14ac:dyDescent="0.25">
      <c r="A11" s="14"/>
      <c r="B11" s="6"/>
      <c r="C11" s="81" t="s">
        <v>43</v>
      </c>
      <c r="D11" s="81" t="s">
        <v>58</v>
      </c>
      <c r="E11" s="81" t="s">
        <v>44</v>
      </c>
      <c r="F11" s="40" t="s">
        <v>45</v>
      </c>
      <c r="G11" s="6"/>
      <c r="H11" s="7"/>
      <c r="O11" s="79"/>
    </row>
    <row r="12" spans="1:15" ht="31.5" customHeight="1" x14ac:dyDescent="0.25">
      <c r="A12" s="92"/>
      <c r="B12" s="93"/>
      <c r="C12" s="70" t="s">
        <v>10</v>
      </c>
      <c r="D12" s="70" t="s">
        <v>106</v>
      </c>
      <c r="E12" s="70" t="s">
        <v>107</v>
      </c>
      <c r="F12" s="70" t="s">
        <v>108</v>
      </c>
      <c r="G12" s="111"/>
      <c r="H12" s="112"/>
    </row>
    <row r="13" spans="1:15" ht="31.5" customHeight="1" x14ac:dyDescent="0.25">
      <c r="A13" s="107" t="s">
        <v>9</v>
      </c>
      <c r="B13" s="108"/>
      <c r="C13" s="37"/>
      <c r="D13" s="38">
        <v>0.33</v>
      </c>
      <c r="E13" s="38">
        <v>0.25</v>
      </c>
      <c r="F13" s="39">
        <v>0.2</v>
      </c>
      <c r="G13" s="90" t="s">
        <v>60</v>
      </c>
      <c r="H13" s="91"/>
      <c r="J13" s="4"/>
    </row>
    <row r="14" spans="1:15" ht="30" customHeight="1" x14ac:dyDescent="0.25">
      <c r="A14" s="109" t="s">
        <v>102</v>
      </c>
      <c r="B14" s="110"/>
      <c r="C14" s="9">
        <v>1</v>
      </c>
      <c r="D14" s="16">
        <f>($F$3*$H$4+$F$3*D$13)*(1-$F$6)/52*(1-$F$7*0.4)</f>
        <v>2.7053511904761907</v>
      </c>
      <c r="E14" s="16">
        <f>($F$3*$H$4+$F$3*E$13)*(1-$F$6)/52*(1-$F$7*0.4)</f>
        <v>2.5248511904761903</v>
      </c>
      <c r="F14" s="16">
        <f>($F$3*$H$4+$F$3*F$13)*(1-$F$6)/52*(1-$F$7*0.4)</f>
        <v>2.4120386904761908</v>
      </c>
      <c r="G14" s="90" t="s">
        <v>79</v>
      </c>
      <c r="H14" s="91"/>
      <c r="J14" s="4"/>
    </row>
    <row r="15" spans="1:15" ht="28.5" customHeight="1" x14ac:dyDescent="0.25">
      <c r="A15" s="109" t="s">
        <v>103</v>
      </c>
      <c r="B15" s="110"/>
      <c r="C15" s="9">
        <v>1</v>
      </c>
      <c r="D15" s="16">
        <f>D14*(1-$F$7*1/3)</f>
        <v>2.6782976785714285</v>
      </c>
      <c r="E15" s="16">
        <f>E14*(1-$F$7*1/3)</f>
        <v>2.4996026785714283</v>
      </c>
      <c r="F15" s="16">
        <f>F14*(1-$F$7*1/3)</f>
        <v>2.3879183035714289</v>
      </c>
      <c r="G15" s="101" t="s">
        <v>76</v>
      </c>
      <c r="H15" s="102"/>
    </row>
    <row r="16" spans="1:15" ht="25.5" hidden="1" customHeight="1" x14ac:dyDescent="0.25">
      <c r="A16" s="15" t="s">
        <v>57</v>
      </c>
      <c r="B16" s="9">
        <v>3</v>
      </c>
      <c r="C16" s="9">
        <v>1</v>
      </c>
      <c r="D16" s="16">
        <f>IF($B16=$F$9,D15*(1-$F$7*1/6)*D$13,D15*(1-$F$7*1/6))</f>
        <v>2.6649061901785713</v>
      </c>
      <c r="E16" s="16">
        <f>IF($B16=$F$9,E15*(1-$F$7*1/6)*E$13,E15*(1-$F$7*1/6))</f>
        <v>2.4871046651785713</v>
      </c>
      <c r="F16" s="16">
        <f>IF($B16=$F$9,F15*(1-$F$7*1/6)*F$13,F15*(1-$F$7*1/6))</f>
        <v>2.3759787120535716</v>
      </c>
      <c r="G16" s="103"/>
      <c r="H16" s="104"/>
    </row>
    <row r="17" spans="1:8" ht="25.5" hidden="1" customHeight="1" x14ac:dyDescent="0.25">
      <c r="A17" s="15" t="s">
        <v>57</v>
      </c>
      <c r="B17" s="9">
        <v>4</v>
      </c>
      <c r="C17" s="9">
        <v>1</v>
      </c>
      <c r="D17" s="16">
        <f>IF($B17=$F$9,D16*(1-$F$7*0.1)*D$13,D16*(1-$F$7*0.1))</f>
        <v>2.6569114716080358</v>
      </c>
      <c r="E17" s="16">
        <f>IF($B17=$F$9,E16*(1-$F$7*0.1)*E$13,E16*(1-$F$7*0.1))</f>
        <v>2.4796433511830358</v>
      </c>
      <c r="F17" s="16">
        <f>IF($B17=$F$9,F16*(1-$F$7*0.1)*F$13,F16*(1-$F$7*0.1))</f>
        <v>2.3688507759174109</v>
      </c>
      <c r="G17" s="103"/>
      <c r="H17" s="104"/>
    </row>
    <row r="18" spans="1:8" ht="25.5" hidden="1" customHeight="1" x14ac:dyDescent="0.25">
      <c r="A18" s="15" t="s">
        <v>57</v>
      </c>
      <c r="B18" s="9">
        <v>5</v>
      </c>
      <c r="C18" s="9">
        <v>1</v>
      </c>
      <c r="D18" s="16">
        <f t="shared" ref="D18:D39" si="0">IF($B18=$F$9+1,D17*D$13/$C14*$C15,D17*(1-$F$8/22))</f>
        <v>2.6557037845754867</v>
      </c>
      <c r="E18" s="16">
        <f t="shared" ref="E18:E39" si="1">IF($B18=$F$9+1,E17*E$13/$C14*$C15,E17*(1-$F$8/22))</f>
        <v>2.4785162405688617</v>
      </c>
      <c r="F18" s="16">
        <f t="shared" ref="F18:F39" si="2">IF($B18=$F$9+1,F17*F$13/$C14*$C15,F17*(1-$F$8/22))</f>
        <v>2.3677740255647213</v>
      </c>
      <c r="G18" s="103"/>
      <c r="H18" s="104"/>
    </row>
    <row r="19" spans="1:8" ht="25.5" hidden="1" customHeight="1" x14ac:dyDescent="0.25">
      <c r="A19" s="15" t="s">
        <v>57</v>
      </c>
      <c r="B19" s="9">
        <v>6</v>
      </c>
      <c r="C19" s="9">
        <v>1</v>
      </c>
      <c r="D19" s="16">
        <f t="shared" si="0"/>
        <v>2.6544966464915887</v>
      </c>
      <c r="E19" s="16">
        <f t="shared" si="1"/>
        <v>2.4773896422776938</v>
      </c>
      <c r="F19" s="16">
        <f t="shared" si="2"/>
        <v>2.3666977646440102</v>
      </c>
      <c r="G19" s="103"/>
      <c r="H19" s="104"/>
    </row>
    <row r="20" spans="1:8" ht="25.5" hidden="1" customHeight="1" x14ac:dyDescent="0.25">
      <c r="A20" s="15" t="s">
        <v>57</v>
      </c>
      <c r="B20" s="9">
        <v>7</v>
      </c>
      <c r="C20" s="9">
        <v>1</v>
      </c>
      <c r="D20" s="16">
        <f t="shared" si="0"/>
        <v>2.6532900571068199</v>
      </c>
      <c r="E20" s="16">
        <f t="shared" si="1"/>
        <v>2.4762635560766584</v>
      </c>
      <c r="F20" s="16">
        <f t="shared" si="2"/>
        <v>2.3656219929328084</v>
      </c>
      <c r="G20" s="103"/>
      <c r="H20" s="104"/>
    </row>
    <row r="21" spans="1:8" ht="25.5" hidden="1" customHeight="1" x14ac:dyDescent="0.25">
      <c r="A21" s="15" t="s">
        <v>57</v>
      </c>
      <c r="B21" s="9">
        <v>8</v>
      </c>
      <c r="C21" s="9">
        <v>1</v>
      </c>
      <c r="D21" s="16">
        <f t="shared" si="0"/>
        <v>2.6520840161717714</v>
      </c>
      <c r="E21" s="16">
        <f t="shared" si="1"/>
        <v>2.475137981732987</v>
      </c>
      <c r="F21" s="16">
        <f t="shared" si="2"/>
        <v>2.3645467102087481</v>
      </c>
      <c r="G21" s="103"/>
      <c r="H21" s="104"/>
    </row>
    <row r="22" spans="1:8" ht="25.5" hidden="1" customHeight="1" x14ac:dyDescent="0.25">
      <c r="A22" s="15" t="s">
        <v>57</v>
      </c>
      <c r="B22" s="9">
        <v>9</v>
      </c>
      <c r="C22" s="9">
        <v>1</v>
      </c>
      <c r="D22" s="16">
        <f t="shared" si="0"/>
        <v>2.6508785234371479</v>
      </c>
      <c r="E22" s="16">
        <f t="shared" si="1"/>
        <v>2.4740129190140174</v>
      </c>
      <c r="F22" s="16">
        <f t="shared" si="2"/>
        <v>2.3634719162495621</v>
      </c>
      <c r="G22" s="103"/>
      <c r="H22" s="104"/>
    </row>
    <row r="23" spans="1:8" ht="25.5" hidden="1" customHeight="1" x14ac:dyDescent="0.25">
      <c r="A23" s="15" t="s">
        <v>57</v>
      </c>
      <c r="B23" s="9">
        <v>10</v>
      </c>
      <c r="C23" s="9">
        <v>1</v>
      </c>
      <c r="D23" s="16">
        <f t="shared" si="0"/>
        <v>2.6496735786537675</v>
      </c>
      <c r="E23" s="16">
        <f t="shared" si="1"/>
        <v>2.4728883676871929</v>
      </c>
      <c r="F23" s="16">
        <f t="shared" si="2"/>
        <v>2.3623976108330851</v>
      </c>
      <c r="G23" s="103"/>
      <c r="H23" s="104"/>
    </row>
    <row r="24" spans="1:8" ht="25.5" hidden="1" customHeight="1" x14ac:dyDescent="0.25">
      <c r="A24" s="15" t="s">
        <v>57</v>
      </c>
      <c r="B24" s="9">
        <v>11</v>
      </c>
      <c r="C24" s="9">
        <v>1</v>
      </c>
      <c r="D24" s="16">
        <f t="shared" si="0"/>
        <v>0.87439228095574328</v>
      </c>
      <c r="E24" s="16">
        <f t="shared" si="1"/>
        <v>0.61822209192179822</v>
      </c>
      <c r="F24" s="16">
        <f t="shared" si="2"/>
        <v>0.47247952216661704</v>
      </c>
      <c r="G24" s="103"/>
      <c r="H24" s="104"/>
    </row>
    <row r="25" spans="1:8" ht="25.5" hidden="1" customHeight="1" x14ac:dyDescent="0.25">
      <c r="A25" s="15" t="s">
        <v>57</v>
      </c>
      <c r="B25" s="9">
        <v>12</v>
      </c>
      <c r="C25" s="9">
        <v>1</v>
      </c>
      <c r="D25" s="16">
        <f t="shared" si="0"/>
        <v>0.87399482991894517</v>
      </c>
      <c r="E25" s="16">
        <f t="shared" si="1"/>
        <v>0.61794108188001562</v>
      </c>
      <c r="F25" s="16">
        <f t="shared" si="2"/>
        <v>0.47226475874745039</v>
      </c>
      <c r="G25" s="103"/>
      <c r="H25" s="104"/>
    </row>
    <row r="26" spans="1:8" ht="25.5" hidden="1" customHeight="1" x14ac:dyDescent="0.25">
      <c r="A26" s="15" t="s">
        <v>57</v>
      </c>
      <c r="B26" s="9">
        <v>13</v>
      </c>
      <c r="C26" s="9">
        <v>1</v>
      </c>
      <c r="D26" s="16">
        <f t="shared" si="0"/>
        <v>0.87359755954170926</v>
      </c>
      <c r="E26" s="16">
        <f t="shared" si="1"/>
        <v>0.61766019957007012</v>
      </c>
      <c r="F26" s="16">
        <f t="shared" si="2"/>
        <v>0.47205009294801969</v>
      </c>
      <c r="G26" s="103"/>
      <c r="H26" s="104"/>
    </row>
    <row r="27" spans="1:8" ht="25.5" hidden="1" customHeight="1" x14ac:dyDescent="0.25">
      <c r="A27" s="15" t="s">
        <v>57</v>
      </c>
      <c r="B27" s="9">
        <v>14</v>
      </c>
      <c r="C27" s="9">
        <v>1</v>
      </c>
      <c r="D27" s="71">
        <f t="shared" si="0"/>
        <v>0.87320046974191756</v>
      </c>
      <c r="E27" s="71">
        <f t="shared" si="1"/>
        <v>0.61737944493390184</v>
      </c>
      <c r="F27" s="71">
        <f t="shared" si="2"/>
        <v>0.4718355247239524</v>
      </c>
      <c r="G27" s="103"/>
      <c r="H27" s="104"/>
    </row>
    <row r="28" spans="1:8" ht="25.5" hidden="1" customHeight="1" x14ac:dyDescent="0.25">
      <c r="A28" s="15" t="s">
        <v>57</v>
      </c>
      <c r="B28" s="9">
        <v>15</v>
      </c>
      <c r="C28" s="9">
        <v>1</v>
      </c>
      <c r="D28" s="71">
        <f t="shared" si="0"/>
        <v>0.87280356043748941</v>
      </c>
      <c r="E28" s="71">
        <f t="shared" si="1"/>
        <v>0.61709881791347732</v>
      </c>
      <c r="F28" s="71">
        <f t="shared" si="2"/>
        <v>0.47162105403089605</v>
      </c>
      <c r="G28" s="103"/>
      <c r="H28" s="104"/>
    </row>
    <row r="29" spans="1:8" ht="25.5" hidden="1" customHeight="1" x14ac:dyDescent="0.25">
      <c r="A29" s="15" t="s">
        <v>57</v>
      </c>
      <c r="B29" s="9">
        <v>16</v>
      </c>
      <c r="C29" s="9">
        <v>1</v>
      </c>
      <c r="D29" s="71">
        <f t="shared" si="0"/>
        <v>0.87240683154638143</v>
      </c>
      <c r="E29" s="71">
        <f t="shared" si="1"/>
        <v>0.61681831845078938</v>
      </c>
      <c r="F29" s="71">
        <f t="shared" si="2"/>
        <v>0.47140668082451836</v>
      </c>
      <c r="G29" s="103"/>
      <c r="H29" s="104"/>
    </row>
    <row r="30" spans="1:8" ht="25.5" hidden="1" customHeight="1" x14ac:dyDescent="0.25">
      <c r="A30" s="15" t="s">
        <v>57</v>
      </c>
      <c r="B30" s="9">
        <v>17</v>
      </c>
      <c r="C30" s="9">
        <v>1</v>
      </c>
      <c r="D30" s="71">
        <f t="shared" si="0"/>
        <v>0.87201028298658756</v>
      </c>
      <c r="E30" s="71">
        <f t="shared" si="1"/>
        <v>0.6165379464878572</v>
      </c>
      <c r="F30" s="71">
        <f t="shared" si="2"/>
        <v>0.47119240506050719</v>
      </c>
      <c r="G30" s="103"/>
      <c r="H30" s="104"/>
    </row>
    <row r="31" spans="1:8" ht="25.5" hidden="1" customHeight="1" x14ac:dyDescent="0.25">
      <c r="A31" s="15" t="s">
        <v>57</v>
      </c>
      <c r="B31" s="9">
        <v>18</v>
      </c>
      <c r="C31" s="9">
        <v>1</v>
      </c>
      <c r="D31" s="71">
        <f t="shared" si="0"/>
        <v>0.87161391467613913</v>
      </c>
      <c r="E31" s="71">
        <f t="shared" si="1"/>
        <v>0.61625770196672636</v>
      </c>
      <c r="F31" s="71">
        <f t="shared" si="2"/>
        <v>0.47097822669457057</v>
      </c>
      <c r="G31" s="103"/>
      <c r="H31" s="104"/>
    </row>
    <row r="32" spans="1:8" ht="25.5" hidden="1" customHeight="1" x14ac:dyDescent="0.25">
      <c r="A32" s="15" t="s">
        <v>57</v>
      </c>
      <c r="B32" s="9">
        <v>19</v>
      </c>
      <c r="C32" s="9">
        <v>1</v>
      </c>
      <c r="D32" s="71">
        <f t="shared" si="0"/>
        <v>0.87121772653310448</v>
      </c>
      <c r="E32" s="71">
        <f t="shared" si="1"/>
        <v>0.61597758482946874</v>
      </c>
      <c r="F32" s="71">
        <f t="shared" si="2"/>
        <v>0.47076414568243663</v>
      </c>
      <c r="G32" s="103"/>
      <c r="H32" s="104"/>
    </row>
    <row r="33" spans="1:8" ht="25.5" hidden="1" customHeight="1" x14ac:dyDescent="0.25">
      <c r="A33" s="15" t="s">
        <v>57</v>
      </c>
      <c r="B33" s="9">
        <v>20</v>
      </c>
      <c r="C33" s="9">
        <v>1</v>
      </c>
      <c r="D33" s="71">
        <f t="shared" si="0"/>
        <v>0.87082171847558942</v>
      </c>
      <c r="E33" s="71">
        <f t="shared" si="1"/>
        <v>0.61569759501818255</v>
      </c>
      <c r="F33" s="71">
        <f t="shared" si="2"/>
        <v>0.47055016197985366</v>
      </c>
      <c r="G33" s="103"/>
      <c r="H33" s="104"/>
    </row>
    <row r="34" spans="1:8" ht="25.5" hidden="1" customHeight="1" x14ac:dyDescent="0.25">
      <c r="A34" s="15" t="s">
        <v>57</v>
      </c>
      <c r="B34" s="9">
        <v>21</v>
      </c>
      <c r="C34" s="9">
        <v>1</v>
      </c>
      <c r="D34" s="71">
        <f t="shared" si="0"/>
        <v>0.8704258904217369</v>
      </c>
      <c r="E34" s="71">
        <f t="shared" si="1"/>
        <v>0.61541773247499243</v>
      </c>
      <c r="F34" s="71">
        <f t="shared" si="2"/>
        <v>0.47033627554259005</v>
      </c>
      <c r="G34" s="103"/>
      <c r="H34" s="104"/>
    </row>
    <row r="35" spans="1:8" ht="25.5" hidden="1" customHeight="1" x14ac:dyDescent="0.25">
      <c r="A35" s="15" t="s">
        <v>57</v>
      </c>
      <c r="B35" s="9">
        <v>22</v>
      </c>
      <c r="C35" s="9">
        <v>1</v>
      </c>
      <c r="D35" s="71">
        <f t="shared" si="0"/>
        <v>0.87003024228972703</v>
      </c>
      <c r="E35" s="71">
        <f t="shared" si="1"/>
        <v>0.6151379971420492</v>
      </c>
      <c r="F35" s="71">
        <f t="shared" si="2"/>
        <v>0.47012248632643433</v>
      </c>
      <c r="G35" s="103"/>
      <c r="H35" s="104"/>
    </row>
    <row r="36" spans="1:8" ht="25.5" hidden="1" customHeight="1" x14ac:dyDescent="0.25">
      <c r="A36" s="15" t="s">
        <v>57</v>
      </c>
      <c r="B36" s="9">
        <v>23</v>
      </c>
      <c r="C36" s="9">
        <v>1</v>
      </c>
      <c r="D36" s="71">
        <f t="shared" si="0"/>
        <v>0.86963477399777711</v>
      </c>
      <c r="E36" s="71">
        <f t="shared" si="1"/>
        <v>0.61485838896153011</v>
      </c>
      <c r="F36" s="71">
        <f t="shared" si="2"/>
        <v>0.46990879428719501</v>
      </c>
      <c r="G36" s="103"/>
      <c r="H36" s="104"/>
    </row>
    <row r="37" spans="1:8" ht="25.5" hidden="1" customHeight="1" x14ac:dyDescent="0.25">
      <c r="A37" s="15" t="s">
        <v>57</v>
      </c>
      <c r="B37" s="9">
        <v>24</v>
      </c>
      <c r="C37" s="9">
        <v>1</v>
      </c>
      <c r="D37" s="71">
        <f t="shared" si="0"/>
        <v>0.86923948546414176</v>
      </c>
      <c r="E37" s="71">
        <f t="shared" si="1"/>
        <v>0.61457890787563851</v>
      </c>
      <c r="F37" s="71">
        <f t="shared" si="2"/>
        <v>0.46969519938070081</v>
      </c>
      <c r="G37" s="103"/>
      <c r="H37" s="104"/>
    </row>
    <row r="38" spans="1:8" ht="25.5" hidden="1" customHeight="1" x14ac:dyDescent="0.25">
      <c r="A38" s="15" t="s">
        <v>57</v>
      </c>
      <c r="B38" s="9">
        <v>25</v>
      </c>
      <c r="C38" s="9">
        <v>1</v>
      </c>
      <c r="D38" s="71">
        <f t="shared" si="0"/>
        <v>0.86884437660711256</v>
      </c>
      <c r="E38" s="71">
        <f t="shared" si="1"/>
        <v>0.61429955382660406</v>
      </c>
      <c r="F38" s="71">
        <f t="shared" si="2"/>
        <v>0.4694817015628005</v>
      </c>
      <c r="G38" s="103"/>
      <c r="H38" s="104"/>
    </row>
    <row r="39" spans="1:8" ht="25.5" hidden="1" customHeight="1" x14ac:dyDescent="0.25">
      <c r="A39" s="15" t="s">
        <v>57</v>
      </c>
      <c r="B39" s="9">
        <v>26</v>
      </c>
      <c r="C39" s="9">
        <v>1</v>
      </c>
      <c r="D39" s="71">
        <f t="shared" si="0"/>
        <v>0.86844944734501839</v>
      </c>
      <c r="E39" s="71">
        <f t="shared" si="1"/>
        <v>0.61402032675668283</v>
      </c>
      <c r="F39" s="71">
        <f t="shared" si="2"/>
        <v>0.46926830078936282</v>
      </c>
      <c r="G39" s="103"/>
      <c r="H39" s="104"/>
    </row>
    <row r="40" spans="1:8" ht="23.45" customHeight="1" x14ac:dyDescent="0.25">
      <c r="A40" s="88" t="s">
        <v>55</v>
      </c>
      <c r="B40" s="89"/>
      <c r="C40" s="9">
        <v>4</v>
      </c>
      <c r="D40" s="16">
        <f>SUM(D16:D19)</f>
        <v>10.632018092853682</v>
      </c>
      <c r="E40" s="16">
        <f>SUM(E16:E19)</f>
        <v>9.9226538992081625</v>
      </c>
      <c r="F40" s="16">
        <f>SUM(F16:F19)</f>
        <v>9.4793012781797135</v>
      </c>
      <c r="G40" s="105"/>
      <c r="H40" s="106"/>
    </row>
    <row r="41" spans="1:8" ht="23.45" customHeight="1" x14ac:dyDescent="0.25">
      <c r="A41" s="88" t="s">
        <v>56</v>
      </c>
      <c r="B41" s="89"/>
      <c r="C41" s="9">
        <v>7</v>
      </c>
      <c r="D41" s="16">
        <f>SUM(D20:D26)</f>
        <v>13.227910845785905</v>
      </c>
      <c r="E41" s="16">
        <f>SUM(E20:E26)</f>
        <v>11.75212619788274</v>
      </c>
      <c r="F41" s="16">
        <f>SUM(F20:F26)</f>
        <v>10.872832604086291</v>
      </c>
      <c r="G41" s="90" t="s">
        <v>81</v>
      </c>
      <c r="H41" s="91"/>
    </row>
    <row r="42" spans="1:8" ht="23.45" customHeight="1" x14ac:dyDescent="0.25">
      <c r="A42" s="88" t="s">
        <v>2</v>
      </c>
      <c r="B42" s="89"/>
      <c r="C42" s="9">
        <v>13</v>
      </c>
      <c r="D42" s="16">
        <f>SUM(D27:D39)</f>
        <v>11.320698720522723</v>
      </c>
      <c r="E42" s="16">
        <f>SUM(E27:E39)</f>
        <v>8.0040803166379018</v>
      </c>
      <c r="F42" s="16">
        <f>SUM(F27:F39)</f>
        <v>6.1171609568858196</v>
      </c>
      <c r="G42" s="62" t="s">
        <v>77</v>
      </c>
      <c r="H42" s="73"/>
    </row>
    <row r="43" spans="1:8" ht="23.45" customHeight="1" x14ac:dyDescent="0.25">
      <c r="A43" s="88" t="s">
        <v>3</v>
      </c>
      <c r="B43" s="89"/>
      <c r="C43" s="9">
        <v>13</v>
      </c>
      <c r="D43" s="16">
        <f>IF(AND(F9&gt;13, F9&lt;27),D42*D13,D42)</f>
        <v>11.320698720522723</v>
      </c>
      <c r="E43" s="16">
        <f>IF(AND(F9&gt;13, F9&lt;27),E42*E13,E42)</f>
        <v>8.0040803166379018</v>
      </c>
      <c r="F43" s="16">
        <f>IF(AND(F9&gt;13, F9&lt;27),F42*F13,F42)</f>
        <v>6.1171609568858196</v>
      </c>
      <c r="G43" s="62" t="s">
        <v>64</v>
      </c>
      <c r="H43" s="73"/>
    </row>
    <row r="44" spans="1:8" ht="23.45" customHeight="1" x14ac:dyDescent="0.25">
      <c r="A44" s="99" t="s">
        <v>4</v>
      </c>
      <c r="B44" s="100"/>
      <c r="C44" s="9">
        <v>13</v>
      </c>
      <c r="D44" s="16">
        <f>IF(AND(F10&gt;6, F10&lt;10),D43*D13,D43)</f>
        <v>11.320698720522723</v>
      </c>
      <c r="E44" s="16">
        <f>IF(AND(F10&gt;6, F10&lt;10),E43*E13,E43)</f>
        <v>8.0040803166379018</v>
      </c>
      <c r="F44" s="16">
        <f>IF(AND(F10&gt;6, F10&lt;10),F43*F13,F43)</f>
        <v>6.1171609568858196</v>
      </c>
      <c r="G44" s="97" t="s">
        <v>65</v>
      </c>
      <c r="H44" s="98"/>
    </row>
    <row r="45" spans="1:8" ht="23.45" customHeight="1" x14ac:dyDescent="0.25">
      <c r="A45" s="88" t="s">
        <v>5</v>
      </c>
      <c r="B45" s="89"/>
      <c r="C45" s="9">
        <v>52</v>
      </c>
      <c r="D45" s="16">
        <f>IF(AND(F10&gt;9, F10&lt;13),D44*D13/C44*C45,D44/C44*C45)</f>
        <v>45.28279488209089</v>
      </c>
      <c r="E45" s="16">
        <f>IF(AND(F10&gt;9, F10&lt;13),E44*E13/C44*C45,E44/C44*C45)</f>
        <v>32.016321266551607</v>
      </c>
      <c r="F45" s="16">
        <f>IF(AND(F10&gt;9, F10&lt;13),F44*F13/C44*C45,F44/C44*C45)</f>
        <v>24.468643827543278</v>
      </c>
      <c r="G45" s="97" t="s">
        <v>66</v>
      </c>
      <c r="H45" s="98"/>
    </row>
    <row r="46" spans="1:8" ht="23.45" customHeight="1" x14ac:dyDescent="0.25">
      <c r="A46" s="88" t="s">
        <v>6</v>
      </c>
      <c r="B46" s="89"/>
      <c r="C46" s="9">
        <v>26</v>
      </c>
      <c r="D46" s="16">
        <f>IF(AND(F10&gt;12, F10&lt;25),D45*D13/C45*C46,D45/C45*C46)</f>
        <v>22.641397441045445</v>
      </c>
      <c r="E46" s="16">
        <f>IF(AND(F10&gt;12, F10&lt;25),E45*E13/C45*C46,E45/C45*C46)</f>
        <v>16.008160633275804</v>
      </c>
      <c r="F46" s="16">
        <f>IF(AND(F10&gt;12, F10&lt;25),F45*F13/C45*C46,F45/C45*C46)</f>
        <v>12.234321913771639</v>
      </c>
      <c r="G46" s="97" t="s">
        <v>67</v>
      </c>
      <c r="H46" s="98"/>
    </row>
    <row r="47" spans="1:8" ht="23.45" customHeight="1" x14ac:dyDescent="0.25">
      <c r="A47" s="88" t="s">
        <v>7</v>
      </c>
      <c r="B47" s="89"/>
      <c r="C47" s="16">
        <f>(F5-30)*4.35</f>
        <v>-8.6999999999999993</v>
      </c>
      <c r="D47" s="16">
        <f>IF(AND(F11&gt;12, F11&lt;25),D46*D14/C46*C47,D46/C46*C47)</f>
        <v>-7.5761599129652053</v>
      </c>
      <c r="E47" s="16">
        <f>IF(AND(F11&gt;12, F11&lt;25),E46*E14/C46*C47,E46/C46*C47)</f>
        <v>-5.3565768272884418</v>
      </c>
      <c r="F47" s="16">
        <f>IF(AND(F11&gt;12, F11&lt;25),F46*F14/C46*C47,F46/C46*C47)</f>
        <v>-4.0937923326851253</v>
      </c>
      <c r="G47" s="97"/>
      <c r="H47" s="98"/>
    </row>
    <row r="48" spans="1:8" ht="23.45" customHeight="1" x14ac:dyDescent="0.25">
      <c r="A48" s="88" t="s">
        <v>8</v>
      </c>
      <c r="B48" s="89"/>
      <c r="C48" s="17"/>
      <c r="D48" s="16">
        <f>(F3*H4)+F3*D13</f>
        <v>149.88095238095238</v>
      </c>
      <c r="E48" s="16">
        <f>(F3*H4)+F3*E13</f>
        <v>139.88095238095238</v>
      </c>
      <c r="F48" s="16">
        <f>(F3*H4)+F3*F13</f>
        <v>133.63095238095238</v>
      </c>
      <c r="G48" s="90" t="s">
        <v>69</v>
      </c>
      <c r="H48" s="91"/>
    </row>
    <row r="49" spans="1:12" ht="29.45" customHeight="1" thickBot="1" x14ac:dyDescent="0.3">
      <c r="A49" s="92"/>
      <c r="B49" s="93"/>
      <c r="C49" s="52" t="s">
        <v>34</v>
      </c>
      <c r="D49" s="61">
        <f>SUM(D40:D48)+D14+D15</f>
        <v>273.43465876037885</v>
      </c>
      <c r="E49" s="61">
        <f>SUM(E40:E48)+E14+E15</f>
        <v>233.26033236954359</v>
      </c>
      <c r="F49" s="61">
        <f>SUM(F40:F48)+F14+F15</f>
        <v>209.74369953655324</v>
      </c>
      <c r="G49" s="83"/>
      <c r="H49" s="84"/>
    </row>
    <row r="50" spans="1:12" ht="50.1" customHeight="1" thickTop="1" thickBot="1" x14ac:dyDescent="0.3">
      <c r="A50" s="85" t="s">
        <v>105</v>
      </c>
      <c r="B50" s="86"/>
      <c r="C50" s="86"/>
      <c r="D50" s="86"/>
      <c r="E50" s="86"/>
      <c r="F50" s="86"/>
      <c r="G50" s="86"/>
      <c r="H50" s="87"/>
      <c r="I50" s="1"/>
      <c r="J50" s="1"/>
      <c r="K50" s="1"/>
      <c r="L50" s="1"/>
    </row>
    <row r="51" spans="1:12" ht="26.45" customHeight="1" x14ac:dyDescent="0.25"/>
    <row r="52" spans="1:12" ht="20.100000000000001" customHeight="1" x14ac:dyDescent="0.25"/>
    <row r="53" spans="1:12" ht="20.100000000000001" customHeight="1" x14ac:dyDescent="0.25"/>
    <row r="54" spans="1:12" ht="20.100000000000001" customHeight="1" x14ac:dyDescent="0.25"/>
    <row r="55" spans="1:12" ht="20.100000000000001" customHeight="1" x14ac:dyDescent="0.25"/>
    <row r="56" spans="1:12" ht="27" customHeight="1" x14ac:dyDescent="0.25">
      <c r="I56" s="2"/>
      <c r="J56" s="2"/>
      <c r="K56" s="2"/>
    </row>
    <row r="57" spans="1:12" ht="34.5" customHeight="1" x14ac:dyDescent="0.25"/>
    <row r="58" spans="1:12" ht="19.5" customHeight="1" x14ac:dyDescent="0.25"/>
    <row r="59" spans="1:12" ht="19.5" customHeight="1" x14ac:dyDescent="0.25"/>
    <row r="60" spans="1:12" ht="19.5" customHeight="1" x14ac:dyDescent="0.25"/>
    <row r="61" spans="1:12" ht="19.5" customHeight="1" x14ac:dyDescent="0.25"/>
    <row r="62" spans="1:12" ht="19.5" customHeight="1" x14ac:dyDescent="0.25"/>
    <row r="63" spans="1:12" ht="19.5" customHeight="1" x14ac:dyDescent="0.25"/>
    <row r="64" spans="1:12" ht="29.45" customHeight="1" x14ac:dyDescent="0.25"/>
    <row r="65" ht="18" customHeight="1" x14ac:dyDescent="0.25"/>
    <row r="66" ht="57.95" customHeight="1" x14ac:dyDescent="0.25"/>
    <row r="67" ht="33.6" customHeight="1" x14ac:dyDescent="0.25"/>
    <row r="68" ht="33.6" customHeight="1" x14ac:dyDescent="0.25"/>
    <row r="69" ht="30" customHeight="1" x14ac:dyDescent="0.25"/>
    <row r="70" ht="30.95" customHeight="1" x14ac:dyDescent="0.25"/>
    <row r="71" ht="25.5" customHeight="1" x14ac:dyDescent="0.25"/>
    <row r="73" ht="29.45" customHeight="1" x14ac:dyDescent="0.25"/>
    <row r="75" ht="31.5" customHeight="1" x14ac:dyDescent="0.25"/>
    <row r="76" ht="31.5" customHeight="1" x14ac:dyDescent="0.25"/>
    <row r="77" ht="56.45" customHeight="1" x14ac:dyDescent="0.25"/>
    <row r="78" ht="33.950000000000003" customHeight="1" x14ac:dyDescent="0.25"/>
    <row r="79" ht="33.950000000000003" customHeight="1" x14ac:dyDescent="0.25"/>
    <row r="80" ht="42.6" customHeight="1" x14ac:dyDescent="0.25"/>
    <row r="81" ht="45.95" customHeight="1" x14ac:dyDescent="0.25"/>
  </sheetData>
  <sheetProtection algorithmName="SHA-512" hashValue="oVtlS6ij5yIFtex7HHxGLrtERd+b+RXXFeg19d8Cqf2eQqz+RBTyEc4KfTfWlVRexzAzB28Su60pBApKQ+l+CA==" saltValue="KteZ046/zpVhmmBzKn0J9w==" spinCount="100000" sheet="1" selectLockedCells="1"/>
  <mergeCells count="38">
    <mergeCell ref="A12:B12"/>
    <mergeCell ref="G12:H12"/>
    <mergeCell ref="A5:E5"/>
    <mergeCell ref="A1:G1"/>
    <mergeCell ref="A2:F2"/>
    <mergeCell ref="G2:H2"/>
    <mergeCell ref="A3:E3"/>
    <mergeCell ref="A4:E4"/>
    <mergeCell ref="A7:E7"/>
    <mergeCell ref="A8:E8"/>
    <mergeCell ref="A9:E9"/>
    <mergeCell ref="H9:H10"/>
    <mergeCell ref="A10:E10"/>
    <mergeCell ref="G6:H8"/>
    <mergeCell ref="A41:B41"/>
    <mergeCell ref="G41:H41"/>
    <mergeCell ref="G15:H40"/>
    <mergeCell ref="A13:B13"/>
    <mergeCell ref="G13:H13"/>
    <mergeCell ref="G14:H14"/>
    <mergeCell ref="A14:B14"/>
    <mergeCell ref="A15:B15"/>
    <mergeCell ref="A50:H50"/>
    <mergeCell ref="A48:B48"/>
    <mergeCell ref="G48:H48"/>
    <mergeCell ref="A49:B49"/>
    <mergeCell ref="A6:E6"/>
    <mergeCell ref="A45:B45"/>
    <mergeCell ref="G45:H45"/>
    <mergeCell ref="A46:B46"/>
    <mergeCell ref="G46:H46"/>
    <mergeCell ref="A47:B47"/>
    <mergeCell ref="G47:H47"/>
    <mergeCell ref="A42:B42"/>
    <mergeCell ref="A43:B43"/>
    <mergeCell ref="A44:B44"/>
    <mergeCell ref="G44:H44"/>
    <mergeCell ref="A40:B40"/>
  </mergeCells>
  <pageMargins left="0.7" right="0.7" top="0.78740157499999996" bottom="0.78740157499999996"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topLeftCell="B1" zoomScaleNormal="100" workbookViewId="0">
      <selection activeCell="F3" sqref="F3"/>
    </sheetView>
  </sheetViews>
  <sheetFormatPr baseColWidth="10" defaultRowHeight="15" x14ac:dyDescent="0.25"/>
  <cols>
    <col min="2" max="2" width="23.85546875" customWidth="1"/>
    <col min="3" max="3" width="15.85546875" customWidth="1"/>
    <col min="4" max="5" width="18.85546875" customWidth="1"/>
    <col min="6" max="6" width="19.42578125" customWidth="1"/>
    <col min="7" max="7" width="19.5703125" customWidth="1"/>
    <col min="8" max="8" width="37.5703125" customWidth="1"/>
  </cols>
  <sheetData>
    <row r="1" spans="1:10" ht="35.1" customHeight="1" thickBot="1" x14ac:dyDescent="0.3">
      <c r="A1" s="142" t="s">
        <v>59</v>
      </c>
      <c r="B1" s="143"/>
      <c r="C1" s="143"/>
      <c r="D1" s="143"/>
      <c r="E1" s="143"/>
      <c r="F1" s="143"/>
      <c r="G1" s="143"/>
      <c r="H1" s="53" t="s">
        <v>80</v>
      </c>
    </row>
    <row r="2" spans="1:10" ht="24.6" customHeight="1" x14ac:dyDescent="0.25">
      <c r="A2" s="118" t="s">
        <v>38</v>
      </c>
      <c r="B2" s="119"/>
      <c r="C2" s="119"/>
      <c r="D2" s="119"/>
      <c r="E2" s="119"/>
      <c r="F2" s="120"/>
      <c r="G2" s="121" t="s">
        <v>54</v>
      </c>
      <c r="H2" s="122"/>
    </row>
    <row r="3" spans="1:10" ht="20.100000000000001" customHeight="1" x14ac:dyDescent="0.25">
      <c r="A3" s="113" t="s">
        <v>53</v>
      </c>
      <c r="B3" s="114"/>
      <c r="C3" s="114"/>
      <c r="D3" s="114"/>
      <c r="E3" s="115"/>
      <c r="F3" s="5">
        <v>70</v>
      </c>
      <c r="G3" s="6"/>
      <c r="H3" s="7"/>
    </row>
    <row r="4" spans="1:10" ht="20.100000000000001" customHeight="1" x14ac:dyDescent="0.25">
      <c r="A4" s="113" t="s">
        <v>0</v>
      </c>
      <c r="B4" s="114"/>
      <c r="C4" s="114"/>
      <c r="D4" s="114"/>
      <c r="E4" s="115"/>
      <c r="F4" s="8">
        <v>365</v>
      </c>
      <c r="G4" s="9" t="s">
        <v>11</v>
      </c>
      <c r="H4" s="51">
        <f>365/F4</f>
        <v>1</v>
      </c>
    </row>
    <row r="5" spans="1:10" ht="20.100000000000001" customHeight="1" x14ac:dyDescent="0.25">
      <c r="A5" s="113" t="s">
        <v>1</v>
      </c>
      <c r="B5" s="114"/>
      <c r="C5" s="114"/>
      <c r="D5" s="114"/>
      <c r="E5" s="115"/>
      <c r="F5" s="8">
        <v>32</v>
      </c>
      <c r="G5" s="10"/>
      <c r="H5" s="11"/>
    </row>
    <row r="6" spans="1:10" ht="20.100000000000001" customHeight="1" x14ac:dyDescent="0.25">
      <c r="A6" s="66"/>
      <c r="B6" s="67"/>
      <c r="C6" s="67" t="s">
        <v>94</v>
      </c>
      <c r="D6" s="67"/>
      <c r="E6" s="68"/>
      <c r="F6" s="8">
        <v>10</v>
      </c>
      <c r="G6" s="10"/>
      <c r="H6" s="11"/>
    </row>
    <row r="7" spans="1:10" ht="20.100000000000001" customHeight="1" x14ac:dyDescent="0.25">
      <c r="A7" s="94" t="s">
        <v>78</v>
      </c>
      <c r="B7" s="95"/>
      <c r="C7" s="95"/>
      <c r="D7" s="95"/>
      <c r="E7" s="96"/>
      <c r="F7" s="12">
        <v>0.05</v>
      </c>
      <c r="G7" s="130" t="s">
        <v>104</v>
      </c>
      <c r="H7" s="125"/>
    </row>
    <row r="8" spans="1:10" ht="20.100000000000001" customHeight="1" x14ac:dyDescent="0.25">
      <c r="A8" s="113" t="s">
        <v>74</v>
      </c>
      <c r="B8" s="114"/>
      <c r="C8" s="114"/>
      <c r="D8" s="114"/>
      <c r="E8" s="115"/>
      <c r="F8" s="12">
        <v>0.04</v>
      </c>
      <c r="G8" s="131"/>
      <c r="H8" s="132"/>
    </row>
    <row r="9" spans="1:10" ht="20.100000000000001" customHeight="1" x14ac:dyDescent="0.25">
      <c r="A9" s="113" t="s">
        <v>75</v>
      </c>
      <c r="B9" s="114"/>
      <c r="C9" s="114"/>
      <c r="D9" s="114"/>
      <c r="E9" s="115"/>
      <c r="F9" s="12">
        <v>0.01</v>
      </c>
      <c r="G9" s="133"/>
      <c r="H9" s="126"/>
    </row>
    <row r="10" spans="1:10" ht="20.100000000000001" customHeight="1" x14ac:dyDescent="0.25">
      <c r="A10" s="123" t="s">
        <v>73</v>
      </c>
      <c r="B10" s="124"/>
      <c r="C10" s="124"/>
      <c r="D10" s="124"/>
      <c r="E10" s="124"/>
      <c r="F10" s="13">
        <v>0</v>
      </c>
      <c r="G10" s="57" t="s">
        <v>70</v>
      </c>
      <c r="H10" s="125" t="s">
        <v>72</v>
      </c>
    </row>
    <row r="11" spans="1:10" ht="28.5" customHeight="1" x14ac:dyDescent="0.25">
      <c r="A11" s="127" t="s">
        <v>68</v>
      </c>
      <c r="B11" s="128"/>
      <c r="C11" s="128"/>
      <c r="D11" s="128"/>
      <c r="E11" s="129"/>
      <c r="F11" s="54">
        <v>0</v>
      </c>
      <c r="G11" s="58" t="s">
        <v>71</v>
      </c>
      <c r="H11" s="126"/>
    </row>
    <row r="12" spans="1:10" ht="26.45" customHeight="1" x14ac:dyDescent="0.25">
      <c r="A12" s="14"/>
      <c r="B12" s="6"/>
      <c r="C12" s="69" t="s">
        <v>43</v>
      </c>
      <c r="D12" s="69" t="s">
        <v>58</v>
      </c>
      <c r="E12" s="69" t="s">
        <v>44</v>
      </c>
      <c r="F12" s="40" t="s">
        <v>45</v>
      </c>
      <c r="G12" s="6"/>
      <c r="H12" s="7"/>
    </row>
    <row r="13" spans="1:10" ht="31.5" customHeight="1" x14ac:dyDescent="0.25">
      <c r="A13" s="92"/>
      <c r="B13" s="93"/>
      <c r="C13" s="70" t="s">
        <v>10</v>
      </c>
      <c r="D13" s="70" t="s">
        <v>106</v>
      </c>
      <c r="E13" s="70" t="s">
        <v>107</v>
      </c>
      <c r="F13" s="70" t="s">
        <v>108</v>
      </c>
      <c r="G13" s="111"/>
      <c r="H13" s="112"/>
    </row>
    <row r="14" spans="1:10" ht="31.5" customHeight="1" x14ac:dyDescent="0.25">
      <c r="A14" s="107" t="s">
        <v>9</v>
      </c>
      <c r="B14" s="108"/>
      <c r="C14" s="37"/>
      <c r="D14" s="38">
        <v>0.33</v>
      </c>
      <c r="E14" s="38">
        <v>0.25</v>
      </c>
      <c r="F14" s="39">
        <v>0.2</v>
      </c>
      <c r="G14" s="140" t="s">
        <v>60</v>
      </c>
      <c r="H14" s="141"/>
      <c r="J14" s="4"/>
    </row>
    <row r="15" spans="1:10" ht="30" customHeight="1" x14ac:dyDescent="0.25">
      <c r="A15" s="109" t="s">
        <v>102</v>
      </c>
      <c r="B15" s="110"/>
      <c r="C15" s="9">
        <v>1</v>
      </c>
      <c r="D15" s="16">
        <f>($F$3*$H$4+$F$3*D$14)*(1-$F$7)/F6*(1-$F$8*0.4)</f>
        <v>8.7029879999999995</v>
      </c>
      <c r="E15" s="16">
        <f>($F$3*$H$4+$F$3*E$14)*(1-$F$7)/F6*(1-$F$8*0.4)</f>
        <v>8.1794999999999991</v>
      </c>
      <c r="F15" s="16">
        <f>($F$3*$H$4+$F$3*F$14)*(1-$F$7)/F6*(1-$F$8*0.4)</f>
        <v>7.8523199999999997</v>
      </c>
      <c r="G15" s="140" t="s">
        <v>79</v>
      </c>
      <c r="H15" s="141"/>
    </row>
    <row r="16" spans="1:10" ht="28.5" customHeight="1" x14ac:dyDescent="0.25">
      <c r="A16" s="109" t="s">
        <v>103</v>
      </c>
      <c r="B16" s="110"/>
      <c r="C16" s="9">
        <v>1</v>
      </c>
      <c r="D16" s="16">
        <f>D15*(1-$F$8*1/3)</f>
        <v>8.5869481600000004</v>
      </c>
      <c r="E16" s="16">
        <f>E15*(1-$F$8*1/3)</f>
        <v>8.0704399999999996</v>
      </c>
      <c r="F16" s="16">
        <f>F15*(1-$F$8*1/3)</f>
        <v>7.7476224</v>
      </c>
      <c r="G16" s="130" t="s">
        <v>76</v>
      </c>
      <c r="H16" s="125"/>
    </row>
    <row r="17" spans="1:8" ht="25.5" hidden="1" customHeight="1" x14ac:dyDescent="0.25">
      <c r="A17" s="15" t="s">
        <v>57</v>
      </c>
      <c r="B17" s="9">
        <v>3</v>
      </c>
      <c r="C17" s="9">
        <v>1</v>
      </c>
      <c r="D17" s="16">
        <f>IF($B17=$F$10,D16*(1-$F$8*1/6)*D$14,D16*(1-$F$8*1/6))</f>
        <v>8.5297018389333328</v>
      </c>
      <c r="E17" s="16">
        <f>IF($B17=$F$10,E16*(1-$F$8*1/6)*E$14,E16*(1-$F$8*1/6))</f>
        <v>8.0166370666666662</v>
      </c>
      <c r="F17" s="16">
        <f>IF($B17=$F$10,F16*(1-$F$8*1/6)*F$14,F16*(1-$F$8*1/6))</f>
        <v>7.6959715839999996</v>
      </c>
      <c r="G17" s="131"/>
      <c r="H17" s="132"/>
    </row>
    <row r="18" spans="1:8" ht="25.5" hidden="1" customHeight="1" x14ac:dyDescent="0.25">
      <c r="A18" s="15" t="s">
        <v>57</v>
      </c>
      <c r="B18" s="9">
        <v>4</v>
      </c>
      <c r="C18" s="9">
        <v>1</v>
      </c>
      <c r="D18" s="16">
        <f>IF($B18=$F$10,D17*(1-$F$8*0.1)*D$14,D17*(1-$F$8*0.1))</f>
        <v>8.4955830315775991</v>
      </c>
      <c r="E18" s="16">
        <f>IF($B18=$F$10,E17*(1-$F$8*0.1)*E$14,E17*(1-$F$8*0.1))</f>
        <v>7.9845705183999991</v>
      </c>
      <c r="F18" s="16">
        <f>IF($B18=$F$10,F17*(1-$F$8*0.1)*F$14,F17*(1-$F$8*0.1))</f>
        <v>7.6651876976639999</v>
      </c>
      <c r="G18" s="131"/>
      <c r="H18" s="132"/>
    </row>
    <row r="19" spans="1:8" ht="25.5" hidden="1" customHeight="1" x14ac:dyDescent="0.25">
      <c r="A19" s="15" t="s">
        <v>57</v>
      </c>
      <c r="B19" s="9">
        <v>5</v>
      </c>
      <c r="C19" s="9">
        <v>1</v>
      </c>
      <c r="D19" s="16">
        <f t="shared" ref="D19:F34" si="0">IF($B19=$F$10+1,D18*D$14/$C15*$C16,D18*(1-$F$9/22))</f>
        <v>8.4917214029268813</v>
      </c>
      <c r="E19" s="16">
        <f t="shared" si="0"/>
        <v>7.9809411681643621</v>
      </c>
      <c r="F19" s="16">
        <f t="shared" si="0"/>
        <v>7.6617035214377891</v>
      </c>
      <c r="G19" s="131"/>
      <c r="H19" s="132"/>
    </row>
    <row r="20" spans="1:8" ht="25.5" hidden="1" customHeight="1" x14ac:dyDescent="0.25">
      <c r="A20" s="15" t="s">
        <v>57</v>
      </c>
      <c r="B20" s="9">
        <v>6</v>
      </c>
      <c r="C20" s="9">
        <v>1</v>
      </c>
      <c r="D20" s="16">
        <f t="shared" si="0"/>
        <v>8.4878615295619149</v>
      </c>
      <c r="E20" s="16">
        <f t="shared" si="0"/>
        <v>7.9773134676333779</v>
      </c>
      <c r="F20" s="16">
        <f t="shared" si="0"/>
        <v>7.6582209289280447</v>
      </c>
      <c r="G20" s="131"/>
      <c r="H20" s="132"/>
    </row>
    <row r="21" spans="1:8" ht="25.5" hidden="1" customHeight="1" x14ac:dyDescent="0.25">
      <c r="A21" s="15" t="s">
        <v>57</v>
      </c>
      <c r="B21" s="9">
        <v>7</v>
      </c>
      <c r="C21" s="9">
        <v>1</v>
      </c>
      <c r="D21" s="16">
        <f t="shared" si="0"/>
        <v>8.4840034106848403</v>
      </c>
      <c r="E21" s="16">
        <f t="shared" si="0"/>
        <v>7.9736874160571807</v>
      </c>
      <c r="F21" s="16">
        <f t="shared" si="0"/>
        <v>7.6547399194148955</v>
      </c>
      <c r="G21" s="131"/>
      <c r="H21" s="132"/>
    </row>
    <row r="22" spans="1:8" ht="25.5" hidden="1" customHeight="1" x14ac:dyDescent="0.25">
      <c r="A22" s="15" t="s">
        <v>57</v>
      </c>
      <c r="B22" s="9">
        <v>8</v>
      </c>
      <c r="C22" s="9">
        <v>1</v>
      </c>
      <c r="D22" s="16">
        <f t="shared" si="0"/>
        <v>8.4801470454981658</v>
      </c>
      <c r="E22" s="16">
        <f t="shared" si="0"/>
        <v>7.9700630126862455</v>
      </c>
      <c r="F22" s="16">
        <f t="shared" si="0"/>
        <v>7.6512604921787979</v>
      </c>
      <c r="G22" s="131"/>
      <c r="H22" s="132"/>
    </row>
    <row r="23" spans="1:8" ht="25.5" hidden="1" customHeight="1" x14ac:dyDescent="0.25">
      <c r="A23" s="15" t="s">
        <v>57</v>
      </c>
      <c r="B23" s="9">
        <v>9</v>
      </c>
      <c r="C23" s="9">
        <v>1</v>
      </c>
      <c r="D23" s="16">
        <f t="shared" si="0"/>
        <v>8.4762924332047564</v>
      </c>
      <c r="E23" s="16">
        <f t="shared" si="0"/>
        <v>7.9664402567713877</v>
      </c>
      <c r="F23" s="16">
        <f t="shared" si="0"/>
        <v>7.6477826465005343</v>
      </c>
      <c r="G23" s="131"/>
      <c r="H23" s="132"/>
    </row>
    <row r="24" spans="1:8" ht="25.5" hidden="1" customHeight="1" x14ac:dyDescent="0.25">
      <c r="A24" s="15" t="s">
        <v>57</v>
      </c>
      <c r="B24" s="9">
        <v>10</v>
      </c>
      <c r="C24" s="9">
        <v>1</v>
      </c>
      <c r="D24" s="16">
        <f t="shared" si="0"/>
        <v>8.4724395730078452</v>
      </c>
      <c r="E24" s="16">
        <f t="shared" si="0"/>
        <v>7.9628191475637644</v>
      </c>
      <c r="F24" s="16">
        <f t="shared" si="0"/>
        <v>7.6443063816612158</v>
      </c>
      <c r="G24" s="131"/>
      <c r="H24" s="132"/>
    </row>
    <row r="25" spans="1:8" ht="25.5" hidden="1" customHeight="1" x14ac:dyDescent="0.25">
      <c r="A25" s="15" t="s">
        <v>57</v>
      </c>
      <c r="B25" s="9">
        <v>11</v>
      </c>
      <c r="C25" s="9">
        <v>1</v>
      </c>
      <c r="D25" s="16">
        <f t="shared" si="0"/>
        <v>8.4685884641110238</v>
      </c>
      <c r="E25" s="16">
        <f t="shared" si="0"/>
        <v>7.9591996843148713</v>
      </c>
      <c r="F25" s="16">
        <f t="shared" si="0"/>
        <v>7.6408316969422785</v>
      </c>
      <c r="G25" s="131"/>
      <c r="H25" s="132"/>
    </row>
    <row r="26" spans="1:8" ht="25.5" hidden="1" customHeight="1" x14ac:dyDescent="0.25">
      <c r="A26" s="15" t="s">
        <v>57</v>
      </c>
      <c r="B26" s="9">
        <v>12</v>
      </c>
      <c r="C26" s="9">
        <v>1</v>
      </c>
      <c r="D26" s="16">
        <f t="shared" si="0"/>
        <v>8.4647391057182464</v>
      </c>
      <c r="E26" s="16">
        <f t="shared" si="0"/>
        <v>7.9555818662765461</v>
      </c>
      <c r="F26" s="16">
        <f t="shared" si="0"/>
        <v>7.6373585916254862</v>
      </c>
      <c r="G26" s="131"/>
      <c r="H26" s="132"/>
    </row>
    <row r="27" spans="1:8" ht="25.5" hidden="1" customHeight="1" x14ac:dyDescent="0.25">
      <c r="A27" s="15" t="s">
        <v>57</v>
      </c>
      <c r="B27" s="9">
        <v>13</v>
      </c>
      <c r="C27" s="9">
        <v>1</v>
      </c>
      <c r="D27" s="16">
        <f t="shared" si="0"/>
        <v>8.4608914970338294</v>
      </c>
      <c r="E27" s="16">
        <f t="shared" si="0"/>
        <v>7.9519656927009654</v>
      </c>
      <c r="F27" s="16">
        <f t="shared" si="0"/>
        <v>7.6338870649929289</v>
      </c>
      <c r="G27" s="131"/>
      <c r="H27" s="132"/>
    </row>
    <row r="28" spans="1:8" ht="25.5" hidden="1" customHeight="1" x14ac:dyDescent="0.25">
      <c r="A28" s="15" t="s">
        <v>57</v>
      </c>
      <c r="B28" s="9">
        <v>14</v>
      </c>
      <c r="C28" s="9">
        <v>1</v>
      </c>
      <c r="D28" s="16">
        <f t="shared" si="0"/>
        <v>8.4570456372624498</v>
      </c>
      <c r="E28" s="16">
        <f t="shared" si="0"/>
        <v>7.9483511628406465</v>
      </c>
      <c r="F28" s="16">
        <f t="shared" si="0"/>
        <v>7.6304171163270231</v>
      </c>
      <c r="G28" s="131"/>
      <c r="H28" s="132"/>
    </row>
    <row r="29" spans="1:8" ht="25.5" hidden="1" customHeight="1" x14ac:dyDescent="0.25">
      <c r="A29" s="15" t="s">
        <v>57</v>
      </c>
      <c r="B29" s="9">
        <v>15</v>
      </c>
      <c r="C29" s="9">
        <v>1</v>
      </c>
      <c r="D29" s="16">
        <f t="shared" si="0"/>
        <v>8.4532015256091491</v>
      </c>
      <c r="E29" s="16">
        <f t="shared" si="0"/>
        <v>7.9447382759484455</v>
      </c>
      <c r="F29" s="16">
        <f t="shared" si="0"/>
        <v>7.6269487449105107</v>
      </c>
      <c r="G29" s="131"/>
      <c r="H29" s="132"/>
    </row>
    <row r="30" spans="1:8" ht="25.5" hidden="1" customHeight="1" x14ac:dyDescent="0.25">
      <c r="A30" s="15" t="s">
        <v>57</v>
      </c>
      <c r="B30" s="9">
        <v>16</v>
      </c>
      <c r="C30" s="9">
        <v>1</v>
      </c>
      <c r="D30" s="16">
        <f t="shared" si="0"/>
        <v>8.4493591612793271</v>
      </c>
      <c r="E30" s="16">
        <f t="shared" si="0"/>
        <v>7.9411270312775599</v>
      </c>
      <c r="F30" s="16">
        <f t="shared" si="0"/>
        <v>7.6234819500264601</v>
      </c>
      <c r="G30" s="131"/>
      <c r="H30" s="132"/>
    </row>
    <row r="31" spans="1:8" ht="25.5" hidden="1" customHeight="1" x14ac:dyDescent="0.25">
      <c r="A31" s="15" t="s">
        <v>57</v>
      </c>
      <c r="B31" s="9">
        <v>17</v>
      </c>
      <c r="C31" s="9">
        <v>1</v>
      </c>
      <c r="D31" s="16">
        <f t="shared" si="0"/>
        <v>8.4455185434787445</v>
      </c>
      <c r="E31" s="16">
        <f t="shared" si="0"/>
        <v>7.9375174280815246</v>
      </c>
      <c r="F31" s="16">
        <f t="shared" si="0"/>
        <v>7.620016730958266</v>
      </c>
      <c r="G31" s="131"/>
      <c r="H31" s="132"/>
    </row>
    <row r="32" spans="1:8" ht="25.5" hidden="1" customHeight="1" x14ac:dyDescent="0.25">
      <c r="A32" s="15" t="s">
        <v>57</v>
      </c>
      <c r="B32" s="9">
        <v>18</v>
      </c>
      <c r="C32" s="9">
        <v>1</v>
      </c>
      <c r="D32" s="16">
        <f t="shared" si="0"/>
        <v>8.4416796714135263</v>
      </c>
      <c r="E32" s="16">
        <f t="shared" si="0"/>
        <v>7.9339094656142146</v>
      </c>
      <c r="F32" s="16">
        <f t="shared" si="0"/>
        <v>7.6165530869896481</v>
      </c>
      <c r="G32" s="131"/>
      <c r="H32" s="132"/>
    </row>
    <row r="33" spans="1:8" ht="25.5" hidden="1" customHeight="1" x14ac:dyDescent="0.25">
      <c r="A33" s="15" t="s">
        <v>57</v>
      </c>
      <c r="B33" s="9">
        <v>19</v>
      </c>
      <c r="C33" s="9">
        <v>1</v>
      </c>
      <c r="D33" s="16">
        <f t="shared" si="0"/>
        <v>8.4378425442901559</v>
      </c>
      <c r="E33" s="16">
        <f t="shared" si="0"/>
        <v>7.9303031431298443</v>
      </c>
      <c r="F33" s="16">
        <f t="shared" si="0"/>
        <v>7.6130910174046527</v>
      </c>
      <c r="G33" s="131"/>
      <c r="H33" s="132"/>
    </row>
    <row r="34" spans="1:8" ht="25.5" hidden="1" customHeight="1" x14ac:dyDescent="0.25">
      <c r="A34" s="15" t="s">
        <v>57</v>
      </c>
      <c r="B34" s="9">
        <v>20</v>
      </c>
      <c r="C34" s="9">
        <v>1</v>
      </c>
      <c r="D34" s="16">
        <f t="shared" si="0"/>
        <v>8.4340071613154777</v>
      </c>
      <c r="E34" s="16">
        <f t="shared" si="0"/>
        <v>7.9266984598829673</v>
      </c>
      <c r="F34" s="16">
        <f t="shared" si="0"/>
        <v>7.6096305214876505</v>
      </c>
      <c r="G34" s="131"/>
      <c r="H34" s="132"/>
    </row>
    <row r="35" spans="1:8" ht="25.5" hidden="1" customHeight="1" x14ac:dyDescent="0.25">
      <c r="A35" s="15" t="s">
        <v>57</v>
      </c>
      <c r="B35" s="9">
        <v>21</v>
      </c>
      <c r="C35" s="9">
        <v>1</v>
      </c>
      <c r="D35" s="16">
        <f t="shared" ref="D35:F40" si="1">IF($B35=$F$10+1,D34*D$14/$C31*$C32,D34*(1-$F$9/22))</f>
        <v>8.4301735216966982</v>
      </c>
      <c r="E35" s="16">
        <f t="shared" si="1"/>
        <v>7.9230954151284747</v>
      </c>
      <c r="F35" s="16">
        <f t="shared" si="1"/>
        <v>7.6061715985233374</v>
      </c>
      <c r="G35" s="131"/>
      <c r="H35" s="132"/>
    </row>
    <row r="36" spans="1:8" ht="25.5" hidden="1" customHeight="1" x14ac:dyDescent="0.25">
      <c r="A36" s="15" t="s">
        <v>57</v>
      </c>
      <c r="B36" s="9">
        <v>22</v>
      </c>
      <c r="C36" s="9">
        <v>1</v>
      </c>
      <c r="D36" s="16">
        <f t="shared" si="1"/>
        <v>8.4263416246413811</v>
      </c>
      <c r="E36" s="16">
        <f t="shared" si="1"/>
        <v>7.9194940081215979</v>
      </c>
      <c r="F36" s="16">
        <f t="shared" si="1"/>
        <v>7.6027142477967358</v>
      </c>
      <c r="G36" s="131"/>
      <c r="H36" s="132"/>
    </row>
    <row r="37" spans="1:8" ht="25.5" hidden="1" customHeight="1" x14ac:dyDescent="0.25">
      <c r="A37" s="15" t="s">
        <v>57</v>
      </c>
      <c r="B37" s="9">
        <v>23</v>
      </c>
      <c r="C37" s="9">
        <v>1</v>
      </c>
      <c r="D37" s="16">
        <f t="shared" si="1"/>
        <v>8.4225114693574525</v>
      </c>
      <c r="E37" s="16">
        <f t="shared" si="1"/>
        <v>7.9158942381179056</v>
      </c>
      <c r="F37" s="16">
        <f t="shared" si="1"/>
        <v>7.5992584685931917</v>
      </c>
      <c r="G37" s="131"/>
      <c r="H37" s="132"/>
    </row>
    <row r="38" spans="1:8" ht="25.5" hidden="1" customHeight="1" x14ac:dyDescent="0.25">
      <c r="A38" s="15" t="s">
        <v>57</v>
      </c>
      <c r="B38" s="9">
        <v>24</v>
      </c>
      <c r="C38" s="9">
        <v>1</v>
      </c>
      <c r="D38" s="16">
        <f t="shared" si="1"/>
        <v>8.418683055053199</v>
      </c>
      <c r="E38" s="16">
        <f t="shared" si="1"/>
        <v>7.912296104373306</v>
      </c>
      <c r="F38" s="16">
        <f t="shared" si="1"/>
        <v>7.595804260198376</v>
      </c>
      <c r="G38" s="131"/>
      <c r="H38" s="132"/>
    </row>
    <row r="39" spans="1:8" ht="25.5" hidden="1" customHeight="1" x14ac:dyDescent="0.25">
      <c r="A39" s="15" t="s">
        <v>57</v>
      </c>
      <c r="B39" s="9">
        <v>25</v>
      </c>
      <c r="C39" s="9">
        <v>1</v>
      </c>
      <c r="D39" s="16">
        <f t="shared" si="1"/>
        <v>8.4148563809372661</v>
      </c>
      <c r="E39" s="16">
        <f t="shared" si="1"/>
        <v>7.9086996061440455</v>
      </c>
      <c r="F39" s="16">
        <f t="shared" si="1"/>
        <v>7.5923516218982856</v>
      </c>
      <c r="G39" s="131"/>
      <c r="H39" s="132"/>
    </row>
    <row r="40" spans="1:8" ht="25.5" hidden="1" customHeight="1" x14ac:dyDescent="0.25">
      <c r="A40" s="15" t="s">
        <v>57</v>
      </c>
      <c r="B40" s="9">
        <v>26</v>
      </c>
      <c r="C40" s="9">
        <v>1</v>
      </c>
      <c r="D40" s="16">
        <f t="shared" si="1"/>
        <v>8.4110314462186579</v>
      </c>
      <c r="E40" s="16">
        <f t="shared" si="1"/>
        <v>7.9051047426867074</v>
      </c>
      <c r="F40" s="16">
        <f t="shared" si="1"/>
        <v>7.5889005529792408</v>
      </c>
      <c r="G40" s="131"/>
      <c r="H40" s="132"/>
    </row>
    <row r="41" spans="1:8" ht="23.45" customHeight="1" x14ac:dyDescent="0.25">
      <c r="A41" s="88" t="s">
        <v>55</v>
      </c>
      <c r="B41" s="89"/>
      <c r="C41" s="9">
        <v>4</v>
      </c>
      <c r="D41" s="16">
        <f>SUM(D17:D20)/IF($C41/$F$6&gt;1,$C41/$F$6,"1")</f>
        <v>34.004867802999726</v>
      </c>
      <c r="E41" s="16">
        <f>SUM(E17:E20)/IF($C41/$F$6&gt;1,$C41/$F$6,"1")</f>
        <v>31.95946222086441</v>
      </c>
      <c r="F41" s="16">
        <f>SUM(F17:F20)/IF($C41/$F$6&gt;1,$C41/$F$6,"1")</f>
        <v>30.681083732029833</v>
      </c>
      <c r="G41" s="133"/>
      <c r="H41" s="126"/>
    </row>
    <row r="42" spans="1:8" ht="23.45" customHeight="1" x14ac:dyDescent="0.25">
      <c r="A42" s="88" t="s">
        <v>56</v>
      </c>
      <c r="B42" s="89"/>
      <c r="C42" s="9">
        <v>7</v>
      </c>
      <c r="D42" s="16">
        <f>SUM(D21:D27)/IF($C42/$F$6&gt;1,$C42/$F$6,"1")</f>
        <v>59.307101529258702</v>
      </c>
      <c r="E42" s="16">
        <f t="shared" ref="E42:F42" si="2">SUM(E21:E27)/IF($C42/$F$6&gt;1,$C42/$F$6,"1")</f>
        <v>55.739757076370964</v>
      </c>
      <c r="F42" s="16">
        <f t="shared" si="2"/>
        <v>53.510166793316138</v>
      </c>
      <c r="G42" s="90" t="s">
        <v>81</v>
      </c>
      <c r="H42" s="91"/>
    </row>
    <row r="43" spans="1:8" ht="23.45" customHeight="1" x14ac:dyDescent="0.25">
      <c r="A43" s="88" t="s">
        <v>2</v>
      </c>
      <c r="B43" s="89"/>
      <c r="C43" s="9">
        <v>13</v>
      </c>
      <c r="D43" s="16">
        <f>SUM(D28:D40)/IF($C43/$F$6&gt;1,$C43/$F$6,"1")</f>
        <v>84.34019364811806</v>
      </c>
      <c r="E43" s="16">
        <f t="shared" ref="E43:F43" si="3">SUM(E28:E40)/IF($C43/$F$6&gt;1,$C43/$F$6,"1")</f>
        <v>79.267099293344032</v>
      </c>
      <c r="F43" s="16">
        <f t="shared" si="3"/>
        <v>76.096415321610294</v>
      </c>
      <c r="G43" s="62" t="s">
        <v>77</v>
      </c>
      <c r="H43" s="73"/>
    </row>
    <row r="44" spans="1:8" ht="23.45" customHeight="1" x14ac:dyDescent="0.25">
      <c r="A44" s="88" t="s">
        <v>3</v>
      </c>
      <c r="B44" s="89"/>
      <c r="C44" s="9">
        <v>13</v>
      </c>
      <c r="D44" s="16">
        <f>IF(AND(F10&gt;13, F10&lt;27),D43*D14,D43)</f>
        <v>84.34019364811806</v>
      </c>
      <c r="E44" s="16">
        <f>IF(AND(F10&gt;13, F10&lt;27),E43*E14,E43)</f>
        <v>79.267099293344032</v>
      </c>
      <c r="F44" s="16">
        <f>IF(AND(F10&gt;13, F10&lt;27),F43*F14,F43)</f>
        <v>76.096415321610294</v>
      </c>
      <c r="G44" s="59" t="s">
        <v>64</v>
      </c>
      <c r="H44" s="74"/>
    </row>
    <row r="45" spans="1:8" ht="23.45" customHeight="1" x14ac:dyDescent="0.25">
      <c r="A45" s="99" t="s">
        <v>4</v>
      </c>
      <c r="B45" s="100"/>
      <c r="C45" s="9">
        <v>13</v>
      </c>
      <c r="D45" s="16">
        <f>IF(AND(F11&gt;6, F11&lt;10),D44*D14,D44)</f>
        <v>84.34019364811806</v>
      </c>
      <c r="E45" s="16">
        <f>IF(AND(F11&gt;6, F11&lt;10),E44*E14,E44)</f>
        <v>79.267099293344032</v>
      </c>
      <c r="F45" s="16">
        <f>IF(AND(F11&gt;6, F11&lt;10),F44*F14,F44)</f>
        <v>76.096415321610294</v>
      </c>
      <c r="G45" s="136" t="s">
        <v>65</v>
      </c>
      <c r="H45" s="137"/>
    </row>
    <row r="46" spans="1:8" ht="23.45" customHeight="1" x14ac:dyDescent="0.25">
      <c r="A46" s="88" t="s">
        <v>5</v>
      </c>
      <c r="B46" s="89"/>
      <c r="C46" s="9">
        <v>52</v>
      </c>
      <c r="D46" s="16">
        <f>IF(AND($F11&gt;9, $F11&lt;13),D45*D14/$C45*C46,D45/$C45*$C46)/IF($C46/$F$6&gt;1,$C46/$C45,"1")</f>
        <v>84.34019364811806</v>
      </c>
      <c r="E46" s="16">
        <f t="shared" ref="E46:F46" si="4">IF(AND($F11&gt;9, $F11&lt;13),E45*E14/$C45*D46,E45/$C45*$C46)/IF($C46/$F$6&gt;1,$C46/$C45,"1")</f>
        <v>79.267099293344032</v>
      </c>
      <c r="F46" s="16">
        <f t="shared" si="4"/>
        <v>76.096415321610294</v>
      </c>
      <c r="G46" s="136" t="s">
        <v>66</v>
      </c>
      <c r="H46" s="137"/>
    </row>
    <row r="47" spans="1:8" ht="23.45" customHeight="1" x14ac:dyDescent="0.25">
      <c r="A47" s="88" t="s">
        <v>6</v>
      </c>
      <c r="B47" s="89"/>
      <c r="C47" s="9">
        <v>26</v>
      </c>
      <c r="D47" s="16">
        <f>IF(AND($F12&gt;9, $F12&lt;13),D46*D15/$C46*$C47,D46/$C46*$C47)/IF($C47/$F$6&gt;1,$C47/$C46,"1")</f>
        <v>84.34019364811806</v>
      </c>
      <c r="E47" s="16">
        <f t="shared" ref="E47:F47" si="5">IF(AND($F12&gt;9, $F12&lt;13),E46*E15/$C46*$C47,E46/$C46*$C47)/IF($C47/$F$6&gt;1,$C47/$C46,"1")</f>
        <v>79.267099293344032</v>
      </c>
      <c r="F47" s="16">
        <f t="shared" si="5"/>
        <v>76.096415321610294</v>
      </c>
      <c r="G47" s="136" t="s">
        <v>67</v>
      </c>
      <c r="H47" s="137"/>
    </row>
    <row r="48" spans="1:8" ht="23.45" customHeight="1" x14ac:dyDescent="0.25">
      <c r="A48" s="88" t="s">
        <v>7</v>
      </c>
      <c r="B48" s="89"/>
      <c r="C48" s="16">
        <f>(F5-30)*4.35</f>
        <v>8.6999999999999993</v>
      </c>
      <c r="D48" s="16">
        <f>IF(AND($F13&gt;9, $F13&lt;13),D47*D16/$C47*$C48,D47/$C47*$C48)/IF($C48/$F$6&gt;1,$C48/$C47,"1")</f>
        <v>28.221526336101043</v>
      </c>
      <c r="E48" s="16">
        <f t="shared" ref="E48:F48" si="6">IF(AND($F13&gt;9, $F13&lt;13),E47*E16/$C47*$C48,E47/$C47*$C48)/IF($C48/$F$6&gt;1,$C48/$C47,"1")</f>
        <v>26.523990917388193</v>
      </c>
      <c r="F48" s="16">
        <f t="shared" si="6"/>
        <v>25.463031280692672</v>
      </c>
      <c r="G48" s="136"/>
      <c r="H48" s="137"/>
    </row>
    <row r="49" spans="1:11" ht="23.45" customHeight="1" x14ac:dyDescent="0.25">
      <c r="A49" s="88" t="s">
        <v>8</v>
      </c>
      <c r="B49" s="89"/>
      <c r="C49" s="17"/>
      <c r="D49" s="16">
        <f>(F3*H4)+F3*D14</f>
        <v>93.1</v>
      </c>
      <c r="E49" s="16">
        <f>(F3*H4)+F3*E14</f>
        <v>87.5</v>
      </c>
      <c r="F49" s="16">
        <f>(F3*H4)+F3*F14</f>
        <v>84</v>
      </c>
      <c r="G49" s="140" t="s">
        <v>69</v>
      </c>
      <c r="H49" s="141"/>
    </row>
    <row r="50" spans="1:11" ht="29.45" customHeight="1" thickBot="1" x14ac:dyDescent="0.3">
      <c r="A50" s="134"/>
      <c r="B50" s="135"/>
      <c r="C50" s="75" t="s">
        <v>34</v>
      </c>
      <c r="D50" s="76">
        <f>D$49+D$48*(IF($C48&gt;$F$6,$C48/$F$6,"1"))+D47*(IF($C$47&gt;$F$6,$C47/$F$6,"1"))+D46+D45*(IF($C45/$F$6&gt;1,$C45/$F$6,"1"))*3+D42+D41+D16+D15</f>
        <v>864.47488418924502</v>
      </c>
      <c r="E50" s="76">
        <f t="shared" ref="E50:F50" si="7">E$49+E$48*(IF($C48&gt;$F$6,$C48/$F$6,"1"))+E47*(IF($C$47&gt;$F$6,$C47/$F$6,"1"))+E46+E45*(IF($C45/$F$6&gt;1,$C45/$F$6,"1"))*3+E42+E41+E16+E15</f>
        <v>812.47639491470375</v>
      </c>
      <c r="F50" s="76">
        <f t="shared" si="7"/>
        <v>779.97733911811576</v>
      </c>
      <c r="G50" s="138" t="s">
        <v>95</v>
      </c>
      <c r="H50" s="139"/>
    </row>
    <row r="51" spans="1:11" ht="51" customHeight="1" thickBot="1" x14ac:dyDescent="0.3">
      <c r="A51" s="85" t="s">
        <v>105</v>
      </c>
      <c r="B51" s="86"/>
      <c r="C51" s="86"/>
      <c r="D51" s="86"/>
      <c r="E51" s="86"/>
      <c r="F51" s="86"/>
      <c r="G51" s="86"/>
      <c r="H51" s="87"/>
    </row>
    <row r="52" spans="1:11" ht="26.45" customHeight="1" x14ac:dyDescent="0.25"/>
    <row r="53" spans="1:11" ht="20.100000000000001" customHeight="1" x14ac:dyDescent="0.25">
      <c r="D53" s="72"/>
    </row>
    <row r="54" spans="1:11" ht="20.100000000000001" customHeight="1" x14ac:dyDescent="0.25"/>
    <row r="55" spans="1:11" ht="20.100000000000001" customHeight="1" x14ac:dyDescent="0.25"/>
    <row r="56" spans="1:11" ht="20.100000000000001" customHeight="1" x14ac:dyDescent="0.25"/>
    <row r="57" spans="1:11" ht="27" customHeight="1" x14ac:dyDescent="0.25">
      <c r="I57" s="2"/>
      <c r="J57" s="2"/>
      <c r="K57" s="2"/>
    </row>
    <row r="58" spans="1:11" ht="34.5" customHeight="1" x14ac:dyDescent="0.25"/>
    <row r="59" spans="1:11" ht="19.5" customHeight="1" x14ac:dyDescent="0.25"/>
    <row r="60" spans="1:11" ht="19.5" customHeight="1" x14ac:dyDescent="0.25"/>
    <row r="61" spans="1:11" ht="19.5" customHeight="1" x14ac:dyDescent="0.25"/>
    <row r="62" spans="1:11" ht="19.5" customHeight="1" x14ac:dyDescent="0.25"/>
    <row r="63" spans="1:11" ht="19.5" customHeight="1" x14ac:dyDescent="0.25"/>
    <row r="64" spans="1:11" ht="19.5" customHeight="1" x14ac:dyDescent="0.25"/>
    <row r="65" ht="29.45" customHeight="1" x14ac:dyDescent="0.25"/>
    <row r="66" ht="18" customHeight="1" x14ac:dyDescent="0.25"/>
    <row r="67" ht="57.95" customHeight="1" x14ac:dyDescent="0.25"/>
    <row r="68" ht="33.6" customHeight="1" x14ac:dyDescent="0.25"/>
    <row r="69" ht="33.6" customHeight="1" x14ac:dyDescent="0.25"/>
    <row r="70" ht="30" customHeight="1" x14ac:dyDescent="0.25"/>
    <row r="71" ht="30.95" customHeight="1" x14ac:dyDescent="0.25"/>
    <row r="72" ht="25.5" customHeight="1" x14ac:dyDescent="0.25"/>
    <row r="74" ht="29.45" customHeight="1" x14ac:dyDescent="0.25"/>
    <row r="76" ht="31.5" customHeight="1" x14ac:dyDescent="0.25"/>
    <row r="77" ht="31.5" customHeight="1" x14ac:dyDescent="0.25"/>
    <row r="78" ht="56.45" customHeight="1" x14ac:dyDescent="0.25"/>
    <row r="79" ht="33.950000000000003" customHeight="1" x14ac:dyDescent="0.25"/>
    <row r="80" ht="33.950000000000003" customHeight="1" x14ac:dyDescent="0.25"/>
    <row r="81" ht="42.6" customHeight="1" x14ac:dyDescent="0.25"/>
    <row r="82" ht="45.95" customHeight="1" x14ac:dyDescent="0.25"/>
  </sheetData>
  <sheetProtection algorithmName="SHA-512" hashValue="AUJEnhMCHMH2q5qebTDJB+0QhTACLf3D9ijT4UowF+1vZr6g/i3EzH8h3Wx5qUez/G9OkvGarGVMWc5dVqt1wQ==" saltValue="UoWl+jyWM+VXDogw03Faog==" spinCount="100000" sheet="1" objects="1" scenarios="1" selectLockedCells="1"/>
  <mergeCells count="39">
    <mergeCell ref="A51:H51"/>
    <mergeCell ref="A5:E5"/>
    <mergeCell ref="A1:G1"/>
    <mergeCell ref="A2:F2"/>
    <mergeCell ref="G2:H2"/>
    <mergeCell ref="A3:E3"/>
    <mergeCell ref="A4:E4"/>
    <mergeCell ref="G16:H41"/>
    <mergeCell ref="A41:B41"/>
    <mergeCell ref="A7:E7"/>
    <mergeCell ref="A8:E8"/>
    <mergeCell ref="A9:E9"/>
    <mergeCell ref="A10:E10"/>
    <mergeCell ref="H10:H11"/>
    <mergeCell ref="A11:E11"/>
    <mergeCell ref="A13:B13"/>
    <mergeCell ref="A16:B16"/>
    <mergeCell ref="G7:H9"/>
    <mergeCell ref="A42:B42"/>
    <mergeCell ref="G42:H42"/>
    <mergeCell ref="A43:B43"/>
    <mergeCell ref="G13:H13"/>
    <mergeCell ref="A14:B14"/>
    <mergeCell ref="G14:H14"/>
    <mergeCell ref="G15:H15"/>
    <mergeCell ref="A15:B15"/>
    <mergeCell ref="A44:B44"/>
    <mergeCell ref="A45:B45"/>
    <mergeCell ref="G45:H45"/>
    <mergeCell ref="A49:B49"/>
    <mergeCell ref="G49:H49"/>
    <mergeCell ref="A50:B50"/>
    <mergeCell ref="A46:B46"/>
    <mergeCell ref="G46:H46"/>
    <mergeCell ref="A47:B47"/>
    <mergeCell ref="G47:H47"/>
    <mergeCell ref="A48:B48"/>
    <mergeCell ref="G48:H48"/>
    <mergeCell ref="G50:H50"/>
  </mergeCells>
  <pageMargins left="0.7" right="0.7" top="0.78740157499999996" bottom="0.78740157499999996" header="0.3" footer="0.3"/>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Normal="100" workbookViewId="0">
      <selection activeCell="H20" sqref="H20"/>
    </sheetView>
  </sheetViews>
  <sheetFormatPr baseColWidth="10" defaultRowHeight="15" x14ac:dyDescent="0.25"/>
  <cols>
    <col min="3" max="3" width="16.140625" customWidth="1"/>
    <col min="4" max="4" width="14" customWidth="1"/>
    <col min="5" max="5" width="14.85546875" customWidth="1"/>
    <col min="6" max="6" width="14" customWidth="1"/>
    <col min="7" max="7" width="16.85546875" customWidth="1"/>
    <col min="8" max="8" width="15.5703125" customWidth="1"/>
    <col min="9" max="9" width="12.5703125" customWidth="1"/>
    <col min="10" max="10" width="12.85546875" customWidth="1"/>
  </cols>
  <sheetData>
    <row r="1" spans="1:10" ht="27" customHeight="1" x14ac:dyDescent="0.25">
      <c r="A1" s="163" t="s">
        <v>88</v>
      </c>
      <c r="B1" s="164"/>
      <c r="C1" s="164"/>
      <c r="D1" s="164"/>
      <c r="E1" s="164"/>
      <c r="F1" s="164"/>
      <c r="G1" s="164"/>
      <c r="H1" s="164"/>
      <c r="I1" s="164"/>
      <c r="J1" s="164"/>
    </row>
    <row r="2" spans="1:10" ht="38.25" x14ac:dyDescent="0.25">
      <c r="A2" s="165" t="s">
        <v>16</v>
      </c>
      <c r="B2" s="165"/>
      <c r="C2" s="63" t="s">
        <v>37</v>
      </c>
      <c r="D2" s="63" t="s">
        <v>17</v>
      </c>
      <c r="E2" s="63" t="s">
        <v>18</v>
      </c>
      <c r="F2" s="63" t="s">
        <v>35</v>
      </c>
      <c r="G2" s="63" t="s">
        <v>89</v>
      </c>
      <c r="H2" s="63" t="s">
        <v>36</v>
      </c>
      <c r="I2" s="63" t="s">
        <v>83</v>
      </c>
      <c r="J2" s="63" t="s">
        <v>90</v>
      </c>
    </row>
    <row r="3" spans="1:10" ht="20.45" customHeight="1" x14ac:dyDescent="0.25">
      <c r="A3" s="166" t="s">
        <v>84</v>
      </c>
      <c r="B3" s="167"/>
      <c r="C3" s="56" t="s">
        <v>12</v>
      </c>
      <c r="D3" s="56" t="s">
        <v>21</v>
      </c>
      <c r="E3" s="56" t="s">
        <v>20</v>
      </c>
      <c r="F3" s="56" t="s">
        <v>22</v>
      </c>
      <c r="G3" s="60">
        <v>2</v>
      </c>
      <c r="H3" s="56">
        <v>210</v>
      </c>
      <c r="I3" s="60">
        <v>50</v>
      </c>
      <c r="J3" s="60" t="s">
        <v>91</v>
      </c>
    </row>
    <row r="4" spans="1:10" ht="20.45" customHeight="1" x14ac:dyDescent="0.25">
      <c r="A4" s="166" t="s">
        <v>85</v>
      </c>
      <c r="B4" s="167"/>
      <c r="C4" s="56" t="s">
        <v>13</v>
      </c>
      <c r="D4" s="56">
        <v>200</v>
      </c>
      <c r="E4" s="56">
        <v>100</v>
      </c>
      <c r="F4" s="56">
        <v>150</v>
      </c>
      <c r="G4" s="60">
        <v>2.5</v>
      </c>
      <c r="H4" s="56">
        <v>240</v>
      </c>
      <c r="I4" s="60">
        <v>55</v>
      </c>
      <c r="J4" s="60" t="s">
        <v>91</v>
      </c>
    </row>
    <row r="5" spans="1:10" ht="20.45" customHeight="1" x14ac:dyDescent="0.25">
      <c r="A5" s="166" t="s">
        <v>86</v>
      </c>
      <c r="B5" s="167"/>
      <c r="C5" s="56" t="s">
        <v>14</v>
      </c>
      <c r="D5" s="56">
        <v>200</v>
      </c>
      <c r="E5" s="56">
        <v>110</v>
      </c>
      <c r="F5" s="56">
        <v>150</v>
      </c>
      <c r="G5" s="60">
        <v>3</v>
      </c>
      <c r="H5" s="56">
        <v>270</v>
      </c>
      <c r="I5" s="60">
        <v>60</v>
      </c>
      <c r="J5" s="161" t="s">
        <v>92</v>
      </c>
    </row>
    <row r="6" spans="1:10" ht="20.45" customHeight="1" x14ac:dyDescent="0.25">
      <c r="A6" s="166" t="s">
        <v>87</v>
      </c>
      <c r="B6" s="167"/>
      <c r="C6" s="56" t="s">
        <v>15</v>
      </c>
      <c r="D6" s="56">
        <v>230</v>
      </c>
      <c r="E6" s="56" t="s">
        <v>19</v>
      </c>
      <c r="F6" s="56">
        <v>160</v>
      </c>
      <c r="G6" s="60">
        <v>3.5</v>
      </c>
      <c r="H6" s="56">
        <v>300</v>
      </c>
      <c r="I6" s="60">
        <v>70</v>
      </c>
      <c r="J6" s="162"/>
    </row>
    <row r="7" spans="1:10" ht="20.45" customHeight="1" x14ac:dyDescent="0.25"/>
    <row r="8" spans="1:10" ht="26.45" customHeight="1" thickBot="1" x14ac:dyDescent="0.3">
      <c r="A8" s="150" t="s">
        <v>61</v>
      </c>
      <c r="B8" s="151"/>
      <c r="C8" s="151"/>
      <c r="D8" s="151"/>
      <c r="E8" s="151"/>
      <c r="F8" s="151"/>
      <c r="G8" s="151"/>
      <c r="H8" s="152"/>
    </row>
    <row r="9" spans="1:10" ht="39" thickTop="1" x14ac:dyDescent="0.25">
      <c r="A9" s="168"/>
      <c r="B9" s="169"/>
      <c r="C9" s="41" t="s">
        <v>109</v>
      </c>
      <c r="D9" s="55" t="s">
        <v>25</v>
      </c>
      <c r="E9" s="41" t="s">
        <v>110</v>
      </c>
      <c r="F9" s="55" t="s">
        <v>25</v>
      </c>
      <c r="G9" s="41" t="s">
        <v>111</v>
      </c>
      <c r="H9" s="42" t="s">
        <v>25</v>
      </c>
    </row>
    <row r="10" spans="1:10" ht="24" customHeight="1" x14ac:dyDescent="0.25">
      <c r="A10" s="148" t="s">
        <v>23</v>
      </c>
      <c r="B10" s="149"/>
      <c r="C10" s="65">
        <f>Bestandsplanung!D14+Bestandsplanung!D15</f>
        <v>5.3836488690476187</v>
      </c>
      <c r="D10" s="36">
        <f t="shared" ref="D10:D15" si="0">ROUNDUP(C10,0)</f>
        <v>6</v>
      </c>
      <c r="E10" s="65">
        <f>Bestandsplanung!E14+Bestandsplanung!E15</f>
        <v>5.024453869047619</v>
      </c>
      <c r="F10" s="36">
        <f t="shared" ref="F10:F15" si="1">ROUNDUP(E10,0)</f>
        <v>6</v>
      </c>
      <c r="G10" s="65">
        <f>Bestandsplanung!F14+Bestandsplanung!F15</f>
        <v>4.7999569940476192</v>
      </c>
      <c r="H10" s="64">
        <f t="shared" ref="H10:H15" si="2">ROUNDUP(G10,0)</f>
        <v>5</v>
      </c>
    </row>
    <row r="11" spans="1:10" ht="24" customHeight="1" x14ac:dyDescent="0.25">
      <c r="A11" s="148" t="s">
        <v>24</v>
      </c>
      <c r="B11" s="149"/>
      <c r="C11" s="65">
        <f>Bestandsplanung!D40+Bestandsplanung!D41</f>
        <v>23.859928938639587</v>
      </c>
      <c r="D11" s="36">
        <f t="shared" si="0"/>
        <v>24</v>
      </c>
      <c r="E11" s="65">
        <f>Bestandsplanung!E40+Bestandsplanung!E41</f>
        <v>21.674780097090903</v>
      </c>
      <c r="F11" s="36">
        <f t="shared" si="1"/>
        <v>22</v>
      </c>
      <c r="G11" s="65">
        <f>Bestandsplanung!F40+Bestandsplanung!F41</f>
        <v>20.352133882266003</v>
      </c>
      <c r="H11" s="64">
        <f t="shared" si="2"/>
        <v>21</v>
      </c>
    </row>
    <row r="12" spans="1:10" ht="24" customHeight="1" x14ac:dyDescent="0.25">
      <c r="A12" s="148" t="s">
        <v>96</v>
      </c>
      <c r="B12" s="149"/>
      <c r="C12" s="65">
        <f>Bestandsplanung!D43</f>
        <v>11.320698720522723</v>
      </c>
      <c r="D12" s="36">
        <f t="shared" si="0"/>
        <v>12</v>
      </c>
      <c r="E12" s="65">
        <f>Bestandsplanung!E43</f>
        <v>8.0040803166379018</v>
      </c>
      <c r="F12" s="36">
        <f t="shared" si="1"/>
        <v>9</v>
      </c>
      <c r="G12" s="65">
        <f>Bestandsplanung!F43</f>
        <v>6.1171609568858196</v>
      </c>
      <c r="H12" s="64">
        <f t="shared" si="2"/>
        <v>7</v>
      </c>
    </row>
    <row r="13" spans="1:10" ht="24" customHeight="1" x14ac:dyDescent="0.25">
      <c r="A13" s="148" t="s">
        <v>97</v>
      </c>
      <c r="B13" s="149"/>
      <c r="C13" s="65">
        <f>Bestandsplanung!D44</f>
        <v>11.320698720522723</v>
      </c>
      <c r="D13" s="36">
        <f t="shared" si="0"/>
        <v>12</v>
      </c>
      <c r="E13" s="65">
        <f>Bestandsplanung!E44</f>
        <v>8.0040803166379018</v>
      </c>
      <c r="F13" s="36">
        <f t="shared" si="1"/>
        <v>9</v>
      </c>
      <c r="G13" s="65">
        <f>Bestandsplanung!F44</f>
        <v>6.1171609568858196</v>
      </c>
      <c r="H13" s="64">
        <f t="shared" si="2"/>
        <v>7</v>
      </c>
    </row>
    <row r="14" spans="1:10" ht="24" customHeight="1" x14ac:dyDescent="0.25">
      <c r="A14" s="148" t="s">
        <v>98</v>
      </c>
      <c r="B14" s="149"/>
      <c r="C14" s="65">
        <f>2*C13</f>
        <v>22.641397441045445</v>
      </c>
      <c r="D14" s="36">
        <f t="shared" si="0"/>
        <v>23</v>
      </c>
      <c r="E14" s="65">
        <f>2*E13</f>
        <v>16.008160633275804</v>
      </c>
      <c r="F14" s="36">
        <f t="shared" si="1"/>
        <v>17</v>
      </c>
      <c r="G14" s="65">
        <f>2*G13</f>
        <v>12.234321913771639</v>
      </c>
      <c r="H14" s="64">
        <f t="shared" si="2"/>
        <v>13</v>
      </c>
    </row>
    <row r="15" spans="1:10" ht="24" customHeight="1" x14ac:dyDescent="0.25">
      <c r="A15" s="148" t="s">
        <v>51</v>
      </c>
      <c r="B15" s="149"/>
      <c r="C15" s="65">
        <f>C14/6*(Bestandsplanung!F5-18)</f>
        <v>37.73566240174241</v>
      </c>
      <c r="D15" s="36">
        <f t="shared" si="0"/>
        <v>38</v>
      </c>
      <c r="E15" s="65">
        <f>E14/6*(Bestandsplanung!F5-18)</f>
        <v>26.680267722126342</v>
      </c>
      <c r="F15" s="36">
        <f t="shared" si="1"/>
        <v>27</v>
      </c>
      <c r="G15" s="65">
        <f>G14/6*(Bestandsplanung!F5-18)</f>
        <v>20.390536522952733</v>
      </c>
      <c r="H15" s="64">
        <f t="shared" si="2"/>
        <v>21</v>
      </c>
    </row>
    <row r="16" spans="1:10" ht="29.1" customHeight="1" x14ac:dyDescent="0.25"/>
    <row r="17" spans="1:8" ht="24.6" customHeight="1" thickBot="1" x14ac:dyDescent="0.3">
      <c r="A17" s="150" t="s">
        <v>93</v>
      </c>
      <c r="B17" s="151"/>
      <c r="C17" s="151"/>
      <c r="D17" s="151"/>
      <c r="E17" s="151"/>
      <c r="F17" s="151"/>
      <c r="G17" s="151"/>
      <c r="H17" s="152"/>
    </row>
    <row r="18" spans="1:8" ht="15.75" thickTop="1" x14ac:dyDescent="0.25">
      <c r="A18" s="153"/>
      <c r="B18" s="154"/>
      <c r="C18" s="41" t="s">
        <v>43</v>
      </c>
      <c r="D18" s="41" t="s">
        <v>46</v>
      </c>
      <c r="E18" s="41" t="s">
        <v>44</v>
      </c>
      <c r="F18" s="41" t="s">
        <v>45</v>
      </c>
      <c r="G18" s="157" t="s">
        <v>62</v>
      </c>
      <c r="H18" s="158"/>
    </row>
    <row r="19" spans="1:8" ht="51" x14ac:dyDescent="0.25">
      <c r="A19" s="155"/>
      <c r="B19" s="156"/>
      <c r="C19" s="43"/>
      <c r="D19" s="41" t="s">
        <v>27</v>
      </c>
      <c r="E19" s="41" t="s">
        <v>28</v>
      </c>
      <c r="F19" s="44" t="s">
        <v>26</v>
      </c>
      <c r="G19" s="159"/>
      <c r="H19" s="160"/>
    </row>
    <row r="20" spans="1:8" ht="25.5" x14ac:dyDescent="0.25">
      <c r="A20" s="144" t="s">
        <v>31</v>
      </c>
      <c r="B20" s="145"/>
      <c r="C20" s="77" t="s">
        <v>3</v>
      </c>
      <c r="D20" s="18">
        <f>D12</f>
        <v>12</v>
      </c>
      <c r="E20" s="18">
        <f>F12</f>
        <v>9</v>
      </c>
      <c r="F20" s="19">
        <f>H12</f>
        <v>7</v>
      </c>
      <c r="G20" s="45" t="s">
        <v>40</v>
      </c>
      <c r="H20" s="20">
        <v>13.6</v>
      </c>
    </row>
    <row r="21" spans="1:8" ht="25.5" x14ac:dyDescent="0.25">
      <c r="A21" s="144"/>
      <c r="B21" s="145"/>
      <c r="C21" s="21" t="s">
        <v>33</v>
      </c>
      <c r="D21" s="22">
        <f>D20*0.9</f>
        <v>10.8</v>
      </c>
      <c r="E21" s="22">
        <f>E20*0.9</f>
        <v>8.1</v>
      </c>
      <c r="F21" s="23">
        <f>F20*0.9</f>
        <v>6.3</v>
      </c>
      <c r="G21" s="46" t="s">
        <v>39</v>
      </c>
      <c r="H21" s="25">
        <v>13.6</v>
      </c>
    </row>
    <row r="22" spans="1:8" ht="25.5" x14ac:dyDescent="0.25">
      <c r="A22" s="144" t="s">
        <v>32</v>
      </c>
      <c r="B22" s="145"/>
      <c r="C22" s="77" t="s">
        <v>4</v>
      </c>
      <c r="D22" s="18">
        <f>D13</f>
        <v>12</v>
      </c>
      <c r="E22" s="18">
        <f>F13</f>
        <v>9</v>
      </c>
      <c r="F22" s="19">
        <f>H13</f>
        <v>7</v>
      </c>
      <c r="G22" s="46" t="s">
        <v>41</v>
      </c>
      <c r="H22" s="26">
        <v>49</v>
      </c>
    </row>
    <row r="23" spans="1:8" ht="26.25" thickBot="1" x14ac:dyDescent="0.3">
      <c r="A23" s="144"/>
      <c r="B23" s="145"/>
      <c r="C23" s="21" t="s">
        <v>33</v>
      </c>
      <c r="D23" s="22">
        <f>D22*1</f>
        <v>12</v>
      </c>
      <c r="E23" s="22">
        <f>E22*1</f>
        <v>9</v>
      </c>
      <c r="F23" s="23">
        <f>F22*1</f>
        <v>7</v>
      </c>
      <c r="G23" s="47" t="s">
        <v>42</v>
      </c>
      <c r="H23" s="48">
        <f>SUM(H20:H22)</f>
        <v>76.2</v>
      </c>
    </row>
    <row r="24" spans="1:8" ht="25.5" x14ac:dyDescent="0.25">
      <c r="A24" s="144" t="s">
        <v>29</v>
      </c>
      <c r="B24" s="145"/>
      <c r="C24" s="77" t="s">
        <v>99</v>
      </c>
      <c r="D24" s="18">
        <f>D14</f>
        <v>23</v>
      </c>
      <c r="E24" s="18">
        <f>F14</f>
        <v>17</v>
      </c>
      <c r="F24" s="19">
        <f>H14</f>
        <v>13</v>
      </c>
      <c r="G24" s="27" t="s">
        <v>47</v>
      </c>
      <c r="H24" s="28">
        <f>D21+D23+D25+D27</f>
        <v>93.7</v>
      </c>
    </row>
    <row r="25" spans="1:8" ht="25.5" x14ac:dyDescent="0.25">
      <c r="A25" s="144"/>
      <c r="B25" s="145"/>
      <c r="C25" s="21" t="s">
        <v>33</v>
      </c>
      <c r="D25" s="22">
        <f>(D24*1.1)</f>
        <v>25.3</v>
      </c>
      <c r="E25" s="22">
        <f>E24*1.1</f>
        <v>18.700000000000003</v>
      </c>
      <c r="F25" s="23">
        <f>F24*1.1</f>
        <v>14.3</v>
      </c>
      <c r="G25" s="24" t="s">
        <v>48</v>
      </c>
      <c r="H25" s="29">
        <f>E21+E23+E25+E27</f>
        <v>68.2</v>
      </c>
    </row>
    <row r="26" spans="1:8" ht="26.25" thickBot="1" x14ac:dyDescent="0.3">
      <c r="A26" s="144" t="s">
        <v>30</v>
      </c>
      <c r="B26" s="145"/>
      <c r="C26" s="78" t="s">
        <v>52</v>
      </c>
      <c r="D26" s="18">
        <f>D15</f>
        <v>38</v>
      </c>
      <c r="E26" s="18">
        <f>F15</f>
        <v>27</v>
      </c>
      <c r="F26" s="19">
        <f>H15</f>
        <v>21</v>
      </c>
      <c r="G26" s="30" t="s">
        <v>49</v>
      </c>
      <c r="H26" s="31">
        <f>F21+F23+F25+F27</f>
        <v>52.8</v>
      </c>
    </row>
    <row r="27" spans="1:8" ht="33.950000000000003" customHeight="1" x14ac:dyDescent="0.25">
      <c r="A27" s="144"/>
      <c r="B27" s="145"/>
      <c r="C27" s="32" t="s">
        <v>33</v>
      </c>
      <c r="D27" s="33">
        <f>D26*1.2</f>
        <v>45.6</v>
      </c>
      <c r="E27" s="33">
        <f>E26*1.2</f>
        <v>32.4</v>
      </c>
      <c r="F27" s="34">
        <f>F26*1.2</f>
        <v>25.2</v>
      </c>
      <c r="G27" s="146" t="s">
        <v>63</v>
      </c>
      <c r="H27" s="147"/>
    </row>
    <row r="32" spans="1:8" x14ac:dyDescent="0.25">
      <c r="G32" s="79"/>
      <c r="H32" s="3"/>
    </row>
  </sheetData>
  <sheetProtection algorithmName="SHA-512" hashValue="1bCDdnBGPu9m4+gk3aKIM1sICKKZwo3kCaqAnI5C82KeRAELEa2CNH+OeQnUd+9xbTJ2B8Fik0WLtcOoYElQfw==" saltValue="2Gu1d9In34tNKmOtgTLOFg==" spinCount="100000" sheet="1" objects="1" scenarios="1" selectLockedCells="1"/>
  <mergeCells count="23">
    <mergeCell ref="J5:J6"/>
    <mergeCell ref="A1:J1"/>
    <mergeCell ref="A11:B11"/>
    <mergeCell ref="A12:B12"/>
    <mergeCell ref="A13:B13"/>
    <mergeCell ref="A10:B10"/>
    <mergeCell ref="A2:B2"/>
    <mergeCell ref="A3:B3"/>
    <mergeCell ref="A4:B4"/>
    <mergeCell ref="A5:B5"/>
    <mergeCell ref="A6:B6"/>
    <mergeCell ref="A8:H8"/>
    <mergeCell ref="A9:B9"/>
    <mergeCell ref="A14:B14"/>
    <mergeCell ref="A15:B15"/>
    <mergeCell ref="A17:H17"/>
    <mergeCell ref="A18:B19"/>
    <mergeCell ref="G18:H19"/>
    <mergeCell ref="A20:B21"/>
    <mergeCell ref="A22:B23"/>
    <mergeCell ref="A24:B25"/>
    <mergeCell ref="A26:B27"/>
    <mergeCell ref="G27:H27"/>
  </mergeCells>
  <pageMargins left="0.7" right="0.7" top="0.78740157499999996" bottom="0.78740157499999996" header="0.3" footer="0.3"/>
  <pageSetup paperSize="9" scale="63" orientation="portrait" r:id="rId1"/>
  <ignoredErrors>
    <ignoredError sqref="E10:E13 G10:G13 D14:F15 G14:G1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
  <sheetViews>
    <sheetView workbookViewId="0">
      <selection activeCell="F1" sqref="F1"/>
    </sheetView>
  </sheetViews>
  <sheetFormatPr baseColWidth="10" defaultRowHeight="15" x14ac:dyDescent="0.25"/>
  <cols>
    <col min="4" max="6" width="21.42578125" customWidth="1"/>
  </cols>
  <sheetData>
    <row r="1" spans="1:6" x14ac:dyDescent="0.25">
      <c r="A1" s="113" t="s">
        <v>100</v>
      </c>
      <c r="B1" s="114"/>
      <c r="C1" s="114"/>
      <c r="D1" s="114"/>
      <c r="E1" s="115"/>
      <c r="F1" s="8">
        <v>9</v>
      </c>
    </row>
    <row r="3" spans="1:6" ht="36" customHeight="1" thickBot="1" x14ac:dyDescent="0.3">
      <c r="A3" s="176" t="s">
        <v>82</v>
      </c>
      <c r="B3" s="177"/>
      <c r="C3" s="177"/>
      <c r="D3" s="177"/>
      <c r="E3" s="177"/>
      <c r="F3" s="178"/>
    </row>
    <row r="4" spans="1:6" ht="15.75" thickTop="1" x14ac:dyDescent="0.25">
      <c r="A4" s="170"/>
      <c r="B4" s="171"/>
      <c r="C4" s="41" t="s">
        <v>43</v>
      </c>
      <c r="D4" s="41" t="s">
        <v>46</v>
      </c>
      <c r="E4" s="41" t="s">
        <v>44</v>
      </c>
      <c r="F4" s="41" t="s">
        <v>45</v>
      </c>
    </row>
    <row r="5" spans="1:6" ht="78" customHeight="1" x14ac:dyDescent="0.25">
      <c r="A5" s="172"/>
      <c r="B5" s="173"/>
      <c r="C5" s="49"/>
      <c r="D5" s="50" t="s">
        <v>27</v>
      </c>
      <c r="E5" s="50" t="s">
        <v>28</v>
      </c>
      <c r="F5" s="50" t="s">
        <v>26</v>
      </c>
    </row>
    <row r="6" spans="1:6" ht="40.5" customHeight="1" x14ac:dyDescent="0.25">
      <c r="A6" s="174" t="s">
        <v>101</v>
      </c>
      <c r="B6" s="175"/>
      <c r="C6" s="35" t="s">
        <v>50</v>
      </c>
      <c r="D6" s="36">
        <f>ROUNDUP(((Bestandsplanung!F3*Bestandsplanung!H4+Bestandsplanung!F3*Bestandsplanung!D13)*F1/52),0)</f>
        <v>26</v>
      </c>
      <c r="E6" s="36">
        <f>ROUNDUP(((Bestandsplanung!F3*Bestandsplanung!H4+Bestandsplanung!F3*Bestandsplanung!E13)*F1/52),0)</f>
        <v>25</v>
      </c>
      <c r="F6" s="36">
        <f>ROUNDUP(((Bestandsplanung!F3*Bestandsplanung!H4+Bestandsplanung!F3*Bestandsplanung!F13)*F1/52),0)</f>
        <v>24</v>
      </c>
    </row>
  </sheetData>
  <sheetProtection algorithmName="SHA-512" hashValue="IO9ZgPh75ky4bNKDZxaxXFdfODA5lrL3bU7PZZxI5W94PnJ07QNF0jq/bB+BLYnWQ2gII9lMqNcHO/8DuFmNHA==" saltValue="k5Xo7YBFwB5ALpHE/FDtUA==" spinCount="100000" sheet="1" objects="1" scenarios="1" selectLockedCells="1"/>
  <mergeCells count="4">
    <mergeCell ref="A4:B5"/>
    <mergeCell ref="A6:B6"/>
    <mergeCell ref="A3:F3"/>
    <mergeCell ref="A1:E1"/>
  </mergeCells>
  <pageMargins left="0.7" right="0.7" top="0.78740157499999996" bottom="0.78740157499999996"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Bestandsplanung</vt:lpstr>
      <vt:lpstr>Saisonale Abkalbung</vt:lpstr>
      <vt:lpstr>Stallplatzbedarf JV</vt:lpstr>
      <vt:lpstr>Stallplatzbedarf Trockensteher</vt:lpstr>
    </vt:vector>
  </TitlesOfParts>
  <Company>Hochschule für Wirtschaft und Umwelt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Benz, Barbara</dc:creator>
  <cp:lastModifiedBy>Allevato, Corinna</cp:lastModifiedBy>
  <cp:lastPrinted>2022-05-19T06:08:53Z</cp:lastPrinted>
  <dcterms:created xsi:type="dcterms:W3CDTF">2019-02-25T12:04:40Z</dcterms:created>
  <dcterms:modified xsi:type="dcterms:W3CDTF">2022-05-19T08:03:20Z</dcterms:modified>
</cp:coreProperties>
</file>